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onnees" sheetId="1" state="visible" r:id="rId2"/>
    <sheet name="Projections Recette 1" sheetId="2" state="visible" r:id="rId3"/>
    <sheet name="Projections Recette 2" sheetId="3" state="visible" r:id="rId4"/>
    <sheet name="Projections Recette 3" sheetId="4" state="visible" r:id="rId5"/>
    <sheet name="Gestion reelle" sheetId="5" state="visible" r:id="rId6"/>
    <sheet name="Tableau de livraisons" sheetId="6" state="visible" r:id="rId7"/>
    <sheet name="Investissements" sheetId="7" state="visible" r:id="rId8"/>
    <sheet name="Variation prix" sheetId="8" state="hidden" r:id="rId9"/>
    <sheet name="Variation prix malt &amp; houblon" sheetId="9" state="hidden" r:id="rId10"/>
  </sheets>
  <definedNames>
    <definedName function="false" hidden="true" localSheetId="6" name="_xlnm._FilterDatabase" vbProcedure="false">Investissements!$B$3:$E$3</definedName>
    <definedName function="false" hidden="true" localSheetId="5" name="_xlnm._FilterDatabase" vbProcedure="false">'Tableau de livraisons'!$B$7:$H$7</definedName>
    <definedName function="false" hidden="false" name="Contenance" vbProcedure="false">'Tableau de livraisons'!$K$9:$K$10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82" authorId="0">
      <text>
        <r>
          <rPr>
            <sz val="11"/>
            <color rgb="FF000000"/>
            <rFont val="Calibri"/>
            <family val="2"/>
            <charset val="1"/>
          </rPr>
          <t xml:space="preserve">Année "standard" = +/-  : 250 jours ouvres + 100 jours de weekends + 10-15 jours féries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5" authorId="0">
      <text>
        <r>
          <rPr>
            <sz val="11"/>
            <color rgb="FF000000"/>
            <rFont val="Calibri"/>
            <family val="2"/>
            <charset val="1"/>
          </rPr>
          <t xml:space="preserve">Nombre de brassins indiques dans collecteur de donnee colonne C7</t>
        </r>
      </text>
    </comment>
    <comment ref="C65" authorId="0">
      <text>
        <r>
          <rPr>
            <sz val="11"/>
            <color rgb="FF000000"/>
            <rFont val="Calibri"/>
            <family val="2"/>
            <charset val="1"/>
          </rPr>
          <t xml:space="preserve">15% de 0 a 38 120 euros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 xml:space="preserve">28% de 38 120 à 75 000 euros</t>
        </r>
      </text>
    </comment>
    <comment ref="C67" authorId="0">
      <text>
        <r>
          <rPr>
            <sz val="11"/>
            <color rgb="FF000000"/>
            <rFont val="Calibri"/>
            <family val="2"/>
            <charset val="1"/>
          </rPr>
          <t xml:space="preserve">33,33% au delas de 75,000 euros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 xml:space="preserve">Me:
</t>
        </r>
        <r>
          <rPr>
            <sz val="10"/>
            <color rgb="FF000000"/>
            <rFont val="Tahoma"/>
            <family val="2"/>
            <charset val="1"/>
          </rPr>
          <t xml:space="preserve">13.3%+1% = 14.4% du C.A / Annuel :
(Impossible si CA &gt; 82,000 / AN)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72" authorId="0">
      <text>
        <r>
          <rPr>
            <sz val="11"/>
            <color rgb="FF000000"/>
            <rFont val="Calibri"/>
            <family val="2"/>
            <charset val="1"/>
          </rPr>
          <t xml:space="preserve">Me:
</t>
        </r>
        <r>
          <rPr>
            <sz val="10"/>
            <color rgb="FF000000"/>
            <rFont val="Tahoma"/>
            <family val="2"/>
            <charset val="1"/>
          </rPr>
          <t xml:space="preserve">13.3%+1% = 14.4% du C.A / Annuel :
(Impossible si CA &gt; 82,000 / AN)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72" authorId="0">
      <text>
        <r>
          <rPr>
            <sz val="11"/>
            <color rgb="FF000000"/>
            <rFont val="Calibri"/>
            <family val="2"/>
            <charset val="1"/>
          </rPr>
          <t xml:space="preserve">Me:
</t>
        </r>
        <r>
          <rPr>
            <sz val="10"/>
            <color rgb="FF000000"/>
            <rFont val="Tahoma"/>
            <family val="2"/>
            <charset val="1"/>
          </rPr>
          <t xml:space="preserve">13.3%+1% = 14.4% du C.A / Annuel :
(Impossible si CA &gt; 82,000 / AN)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47" authorId="0">
      <text>
        <r>
          <rPr>
            <sz val="11"/>
            <color rgb="FF000000"/>
            <rFont val="Calibri"/>
            <family val="2"/>
            <charset val="1"/>
          </rPr>
          <t xml:space="preserve">Estimation SARL (IS) 2017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7" authorId="0">
      <text>
        <r>
          <rPr>
            <sz val="11"/>
            <color rgb="FF000000"/>
            <rFont val="Calibri"/>
            <family val="2"/>
            <charset val="1"/>
          </rPr>
          <t xml:space="preserve">Le cout de la livraison (essence + péage ou transporteur tiers) doit être diviser par le nombre de livraisons effectue dans la tournée</t>
        </r>
      </text>
    </comment>
  </commentList>
</comments>
</file>

<file path=xl/sharedStrings.xml><?xml version="1.0" encoding="utf-8"?>
<sst xmlns="http://schemas.openxmlformats.org/spreadsheetml/2006/main" count="506" uniqueCount="304">
  <si>
    <t xml:space="preserve">Complétez les cellules VERTES pour les projections hypothetiques (onglets projections x)
BLEUES pour les projections (onglet gestion reelle + talbeau de livraison)</t>
  </si>
  <si>
    <t xml:space="preserve">Tableau collecteur de données</t>
  </si>
  <si>
    <t xml:space="preserve">Data</t>
  </si>
  <si>
    <t xml:space="preserve">Valeurs</t>
  </si>
  <si>
    <t xml:space="preserve">Remarques</t>
  </si>
  <si>
    <t xml:space="preserve">Recette #1</t>
  </si>
  <si>
    <t xml:space="preserve">Recette #2</t>
  </si>
  <si>
    <t xml:space="preserve">Recette #3</t>
  </si>
  <si>
    <t xml:space="preserve">Nom de la recette</t>
  </si>
  <si>
    <t xml:space="preserve">La blonde</t>
  </si>
  <si>
    <t xml:space="preserve">La brune</t>
  </si>
  <si>
    <t xml:space="preserve">La blanche</t>
  </si>
  <si>
    <t xml:space="preserve">Cuve / Brassins</t>
  </si>
  <si>
    <t xml:space="preserve">Taille de cuve de brassage (L)</t>
  </si>
  <si>
    <t xml:space="preserve">Rendement (%)</t>
  </si>
  <si>
    <t xml:space="preserve">Rendement de la brasserie en % (généralement entre 70 et 80)</t>
  </si>
  <si>
    <t xml:space="preserve">% Pertes de la production</t>
  </si>
  <si>
    <t xml:space="preserve">% de bières qui ne partiront pas dans le commerce, dégustation, réserve personnelle, mesures, fonds de cuve etc..</t>
  </si>
  <si>
    <t xml:space="preserve">Total théorique bière / brassin (L)</t>
  </si>
  <si>
    <t xml:space="preserve">Calcul auto (Cuve * rendement -% Pertes)</t>
  </si>
  <si>
    <t xml:space="preserve">Date actuelle</t>
  </si>
  <si>
    <t xml:space="preserve">Insert automatique</t>
  </si>
  <si>
    <t xml:space="preserve">Degré de la bière (pour calcul taxe)</t>
  </si>
  <si>
    <t xml:space="preserve">Sert au calcul des taxes (3.7 Euros / HL x Degré)</t>
  </si>
  <si>
    <t xml:space="preserve">Frais généraux par brassin (EUR)</t>
  </si>
  <si>
    <t xml:space="preserve">Grosso modo combien allez vous dépenser (EUROS) en frais divers par brassin (nettoyage etc.)</t>
  </si>
  <si>
    <t xml:space="preserve">Nombre de semaines de production dans l'année</t>
  </si>
  <si>
    <t xml:space="preserve">Sert au calcul projection  des revenus annuels : Nombre de brassins semaine * semaines de production</t>
  </si>
  <si>
    <t xml:space="preserve">Malt #1</t>
  </si>
  <si>
    <t xml:space="preserve">Prix malt EUR / KG</t>
  </si>
  <si>
    <t xml:space="preserve">Inclure cout de livraison au KG</t>
  </si>
  <si>
    <t xml:space="preserve">KG de malt utilise par brassage</t>
  </si>
  <si>
    <t xml:space="preserve">Décote #1 (%) achat malt en gros</t>
  </si>
  <si>
    <t xml:space="preserve">Sert a calculer les bénéfices additionnels dans l'hypothèse d'un achat en gros 
(discount de X pourcent sur le prix de base)</t>
  </si>
  <si>
    <t xml:space="preserve">Décote #2 (%) achat malt en gros</t>
  </si>
  <si>
    <t xml:space="preserve">Malt #2</t>
  </si>
  <si>
    <t xml:space="preserve">Houblon</t>
  </si>
  <si>
    <t xml:space="preserve">Prix houblon EUR / KG</t>
  </si>
  <si>
    <t xml:space="preserve">Décote #1(%) achat houblon en gros</t>
  </si>
  <si>
    <t xml:space="preserve">Décote #2 (%) achat houblon en gros</t>
  </si>
  <si>
    <t xml:space="preserve">KG de houblon utilise par brassage</t>
  </si>
  <si>
    <t xml:space="preserve">Houblon aromatique</t>
  </si>
  <si>
    <t xml:space="preserve">Prix houblon aromatique EUR / KG</t>
  </si>
  <si>
    <t xml:space="preserve">KG Houblon aromatique par brassage</t>
  </si>
  <si>
    <t xml:space="preserve">Désignation / nom</t>
  </si>
  <si>
    <t xml:space="preserve">Girofle</t>
  </si>
  <si>
    <t xml:space="preserve">Cannelle</t>
  </si>
  <si>
    <t xml:space="preserve">Amandes</t>
  </si>
  <si>
    <t xml:space="preserve">Epices / Aromates</t>
  </si>
  <si>
    <t xml:space="preserve">Epice / arome 1 prix au KG</t>
  </si>
  <si>
    <t xml:space="preserve">Quantité utilisée </t>
  </si>
  <si>
    <t xml:space="preserve">Epice / arome 2 prix au KG</t>
  </si>
  <si>
    <t xml:space="preserve">Miel</t>
  </si>
  <si>
    <t xml:space="preserve">Oranges</t>
  </si>
  <si>
    <t xml:space="preserve">Coriandre</t>
  </si>
  <si>
    <t xml:space="preserve">Quantité utilisée</t>
  </si>
  <si>
    <t xml:space="preserve">Epice / arome 3 prix au KG</t>
  </si>
  <si>
    <t xml:space="preserve">Vanille</t>
  </si>
  <si>
    <t xml:space="preserve">Citron</t>
  </si>
  <si>
    <t xml:space="preserve">Ingrédients </t>
  </si>
  <si>
    <t xml:space="preserve">Prix eau / m3</t>
  </si>
  <si>
    <t xml:space="preserve">Prix sucre EUR / KG</t>
  </si>
  <si>
    <t xml:space="preserve">KG de sucre utilise par brassage</t>
  </si>
  <si>
    <t xml:space="preserve">Prix levure EUR / KG</t>
  </si>
  <si>
    <t xml:space="preserve">KG de levure utilise par brassage</t>
  </si>
  <si>
    <t xml:space="preserve">Bouteilles #1</t>
  </si>
  <si>
    <t xml:space="preserve">Contenance bouteille #1 (L)</t>
  </si>
  <si>
    <t xml:space="preserve">Contenance en Litres du type de bouteille 1 utilise</t>
  </si>
  <si>
    <t xml:space="preserve">Pourcentage embouteillage avec bouteille #1</t>
  </si>
  <si>
    <t xml:space="preserve">% de la production embouteillé avec bouteille de contenance #1</t>
  </si>
  <si>
    <t xml:space="preserve">Cout achat bouteille vide a l'unité</t>
  </si>
  <si>
    <t xml:space="preserve">Inclure le cout de livraison (cout total facture avec livraison / nombre de bouteilles livrées)</t>
  </si>
  <si>
    <t xml:space="preserve">Cout étiquette a l'unité</t>
  </si>
  <si>
    <t xml:space="preserve">Cout capsule a l'unité</t>
  </si>
  <si>
    <t xml:space="preserve">Prix de revente a l'unité</t>
  </si>
  <si>
    <t xml:space="preserve">Cout de revente des bouteilles a l'unité envisagé H.T</t>
  </si>
  <si>
    <t xml:space="preserve">Taux re réutilisation des bouteilles en %</t>
  </si>
  <si>
    <t xml:space="preserve">% global des bouteilles récupérées pour réutilisation (si aucune mettre 0)</t>
  </si>
  <si>
    <t xml:space="preserve">Packaging (cartons / cagettes) cout Unité</t>
  </si>
  <si>
    <t xml:space="preserve">Si aucun / non défini laisser vide</t>
  </si>
  <si>
    <t xml:space="preserve">Packaging (cartons / cagettes) capacité en bouteilles</t>
  </si>
  <si>
    <t xml:space="preserve">Bouteilles #2</t>
  </si>
  <si>
    <t xml:space="preserve">Contenance bouteille #2 (L)</t>
  </si>
  <si>
    <t xml:space="preserve">Contenance en litres du type de bouteille 2 utilise</t>
  </si>
  <si>
    <t xml:space="preserve">Pourcentage embouteillage avec bouteille #2</t>
  </si>
  <si>
    <t xml:space="preserve">Calcul auto après remplissage  % bouteille #1</t>
  </si>
  <si>
    <t xml:space="preserve">Cout achat la bouteille vide a l'unité</t>
  </si>
  <si>
    <t xml:space="preserve">Taux de réutilisation des bouteilles en %</t>
  </si>
  <si>
    <t xml:space="preserve">Packaging (cartons / cagettes) cout unité</t>
  </si>
  <si>
    <t xml:space="preserve">Divers</t>
  </si>
  <si>
    <t xml:space="preserve">Quantité d'eau utilisée pour nettoyage / refroidissement (L)</t>
  </si>
  <si>
    <t xml:space="preserve">Prix bouteille gaz</t>
  </si>
  <si>
    <t xml:space="preserve">Cout d'achat du gaz, bouteille ou remplissage citerne</t>
  </si>
  <si>
    <t xml:space="preserve">Capacité bouteille gaz (kWh)</t>
  </si>
  <si>
    <t xml:space="preserve">Capacité bouteille ou citerne en KWh :
1 kg de propane = 13,835 kWh / 
1 kg de butane =  13,7 kWh</t>
  </si>
  <si>
    <t xml:space="preserve">Puissance moyenne de bruleurs en utilisation</t>
  </si>
  <si>
    <t xml:space="preserve">Moyenne de la consommation des bruleurs (KWH) lors du brassage</t>
  </si>
  <si>
    <t xml:space="preserve">Temps de cuisson global en H</t>
  </si>
  <si>
    <t xml:space="preserve">Grosso modo</t>
  </si>
  <si>
    <t xml:space="preserve">Electricité : KWh utilises par brassin</t>
  </si>
  <si>
    <t xml:space="preserve">Electricité  : Cout du KWh</t>
  </si>
  <si>
    <t xml:space="preserve">Frais fixes mensuels
(EUR / Mois)</t>
  </si>
  <si>
    <t xml:space="preserve">Location / crédit immobilier  local</t>
  </si>
  <si>
    <t xml:space="preserve">Si gratuit / aucun / partage habitation mettre 0
Si plusieurs cumuler (téléphone etc..)</t>
  </si>
  <si>
    <t xml:space="preserve">Assurance local</t>
  </si>
  <si>
    <t xml:space="preserve">Crédit(s) divers</t>
  </si>
  <si>
    <t xml:space="preserve">Location / crédit véhicule(s)</t>
  </si>
  <si>
    <t xml:space="preserve">Assurance véhicule(s)</t>
  </si>
  <si>
    <t xml:space="preserve">Abonnement téléphonique / internet</t>
  </si>
  <si>
    <t xml:space="preserve">Abonnement téléphonique portable(s)</t>
  </si>
  <si>
    <t xml:space="preserve">Abonnement eau courante</t>
  </si>
  <si>
    <t xml:space="preserve">Abonnement gaz (si gaz de ville utilise vs bouteille / citerne)</t>
  </si>
  <si>
    <t xml:space="preserve">Comptable (SARL Obligatoire)</t>
  </si>
  <si>
    <t xml:space="preserve">Abonnement électricité</t>
  </si>
  <si>
    <t xml:space="preserve">Data pour onglet "temps réel"</t>
  </si>
  <si>
    <t xml:space="preserve">Volume de bière a embouteiller en pratique L</t>
  </si>
  <si>
    <t xml:space="preserve">Nombre de brassins annuels prévus par recette(s)</t>
  </si>
  <si>
    <t xml:space="preserve">Nombre total de brassins effectués a ce jour</t>
  </si>
  <si>
    <t xml:space="preserve">A coupler avec onglet livraison pour onglet "Temps réel"</t>
  </si>
  <si>
    <t xml:space="preserve">Nombre de brassins capsulés a ce jour</t>
  </si>
  <si>
    <t xml:space="preserve">Nombre de jours travailles dans l'année</t>
  </si>
  <si>
    <t xml:space="preserve">Fréquence moyenne des brassins en Jours</t>
  </si>
  <si>
    <t xml:space="preserve">% des bénéfices (avant impôts)  a réinvestir prochaine année</t>
  </si>
  <si>
    <t xml:space="preserve">% des bénéfices annuels BRUT gardes pour réinvestissements / entretien prochaine année</t>
  </si>
  <si>
    <r>
      <rPr>
        <sz val="12"/>
        <color rgb="FF000000"/>
        <rFont val="Calibri"/>
        <family val="2"/>
        <charset val="1"/>
      </rPr>
      <t xml:space="preserve">&gt;5%
</t>
    </r>
    <r>
      <rPr>
        <sz val="12"/>
        <color rgb="FFED7D31"/>
        <rFont val="Calibri"/>
        <family val="2"/>
        <charset val="1"/>
      </rPr>
      <t xml:space="preserve">5&gt;&lt;15%
</t>
    </r>
    <r>
      <rPr>
        <sz val="12"/>
        <color rgb="FFFF0000"/>
        <rFont val="Calibri"/>
        <family val="2"/>
        <charset val="1"/>
      </rPr>
      <t xml:space="preserve">&lt;15%</t>
    </r>
  </si>
  <si>
    <t xml:space="preserve">Couts / Brassin (hors frais fixes)</t>
  </si>
  <si>
    <t xml:space="preserve">Produit / Désignation</t>
  </si>
  <si>
    <t xml:space="preserve">Cout Unité</t>
  </si>
  <si>
    <t xml:space="preserve">Qte</t>
  </si>
  <si>
    <t xml:space="preserve">Cout (EUR)</t>
  </si>
  <si>
    <t xml:space="preserve">Ratio cout (%)</t>
  </si>
  <si>
    <t xml:space="preserve">Cout / Catégorie</t>
  </si>
  <si>
    <t xml:space="preserve">Ratio / categorie (%)</t>
  </si>
  <si>
    <t xml:space="preserve">Packaging</t>
  </si>
  <si>
    <t xml:space="preserve">Ingrédients</t>
  </si>
  <si>
    <t xml:space="preserve">Malt #1 (kg)</t>
  </si>
  <si>
    <t xml:space="preserve">Malt #2 (kg)</t>
  </si>
  <si>
    <t xml:space="preserve">Eau (m3)</t>
  </si>
  <si>
    <t xml:space="preserve">Sucres (KG)</t>
  </si>
  <si>
    <t xml:space="preserve">Levures (KG)</t>
  </si>
  <si>
    <t xml:space="preserve">Houblon (KG)</t>
  </si>
  <si>
    <t xml:space="preserve">Houblon aromatique (KG)</t>
  </si>
  <si>
    <t xml:space="preserve">Taxes Micro brasserie</t>
  </si>
  <si>
    <t xml:space="preserve">Gaz (bouteille)</t>
  </si>
  <si>
    <t xml:space="preserve">Electricité</t>
  </si>
  <si>
    <t xml:space="preserve">Eau nettoyage (m3)</t>
  </si>
  <si>
    <t xml:space="preserve">Frais généraux</t>
  </si>
  <si>
    <t xml:space="preserve">Bilan par brassin (supposé 100% vendu)</t>
  </si>
  <si>
    <t xml:space="preserve">Dépenses</t>
  </si>
  <si>
    <t xml:space="preserve">Recettes (BRUT)</t>
  </si>
  <si>
    <t xml:space="preserve">Benefice commercial BRUT</t>
  </si>
  <si>
    <t xml:space="preserve">Couts et rendements / semaine</t>
  </si>
  <si>
    <t xml:space="preserve">Brassins / Semaines</t>
  </si>
  <si>
    <t xml:space="preserve">Entrées</t>
  </si>
  <si>
    <t xml:space="preserve">Bénéfices BRUT</t>
  </si>
  <si>
    <t xml:space="preserve">Couts et rendements / mois</t>
  </si>
  <si>
    <t xml:space="preserve">Brassins / semaines</t>
  </si>
  <si>
    <t xml:space="preserve">Frais fixes</t>
  </si>
  <si>
    <t xml:space="preserve">Bilan</t>
  </si>
  <si>
    <t xml:space="preserve">Désignation</t>
  </si>
  <si>
    <t xml:space="preserve">Chiffre d'affaires &amp;
Bénéfices BRUT</t>
  </si>
  <si>
    <t xml:space="preserve">C.A Annuel</t>
  </si>
  <si>
    <t xml:space="preserve">Depenses (brassins)</t>
  </si>
  <si>
    <r>
      <rPr>
        <sz val="11"/>
        <color rgb="FF000000"/>
        <rFont val="Calibri"/>
        <family val="2"/>
        <charset val="1"/>
      </rPr>
      <t xml:space="preserve">Benefice </t>
    </r>
    <r>
      <rPr>
        <u val="single"/>
        <sz val="11"/>
        <color rgb="FF4472C4"/>
        <rFont val="Calibri"/>
        <family val="2"/>
        <charset val="1"/>
      </rPr>
      <t xml:space="preserve">commercial</t>
    </r>
    <r>
      <rPr>
        <sz val="11"/>
        <color rgb="FF000000"/>
        <rFont val="Calibri"/>
        <family val="2"/>
        <charset val="1"/>
      </rPr>
      <t xml:space="preserve"> annuel BRUT</t>
    </r>
  </si>
  <si>
    <t xml:space="preserve">Depenses annuelles frais fixes</t>
  </si>
  <si>
    <t xml:space="preserve">Réinvestissement pour prochaine année</t>
  </si>
  <si>
    <r>
      <rPr>
        <sz val="11"/>
        <color rgb="FF000000"/>
        <rFont val="Calibri"/>
        <family val="2"/>
        <charset val="1"/>
      </rPr>
      <t xml:space="preserve">Benefice </t>
    </r>
    <r>
      <rPr>
        <u val="single"/>
        <sz val="11"/>
        <color rgb="FF4472C4"/>
        <rFont val="Calibri"/>
        <family val="2"/>
        <charset val="1"/>
      </rPr>
      <t xml:space="preserve">commercial </t>
    </r>
    <r>
      <rPr>
        <sz val="11"/>
        <color rgb="FF000000"/>
        <rFont val="Calibri"/>
        <family val="2"/>
        <charset val="1"/>
      </rPr>
      <t xml:space="preserve">annuel NET</t>
    </r>
  </si>
  <si>
    <r>
      <rPr>
        <sz val="10"/>
        <color rgb="FF000000"/>
        <rFont val="Calibri"/>
        <family val="2"/>
        <charset val="1"/>
      </rPr>
      <t xml:space="preserve">Bénéfices </t>
    </r>
    <r>
      <rPr>
        <u val="single"/>
        <sz val="10"/>
        <color rgb="FF4472C4"/>
        <rFont val="Calibri"/>
        <family val="2"/>
        <charset val="1"/>
      </rPr>
      <t xml:space="preserve">commercial</t>
    </r>
    <r>
      <rPr>
        <sz val="10"/>
        <color rgb="FF000000"/>
        <rFont val="Calibri"/>
        <family val="2"/>
        <charset val="1"/>
      </rPr>
      <t xml:space="preserve"> mensuel moyen NET</t>
    </r>
  </si>
  <si>
    <t xml:space="preserve">Si structure SARL (IS 2017)</t>
  </si>
  <si>
    <t xml:space="preserve">Imposition</t>
  </si>
  <si>
    <t xml:space="preserve">Imposition SARL annuelle tranche 1</t>
  </si>
  <si>
    <t xml:space="preserve">Imposition SARL annuelle tranche 2</t>
  </si>
  <si>
    <t xml:space="preserve">Imposition SARL annuelle tranche 3</t>
  </si>
  <si>
    <t xml:space="preserve">Total imposition annuelle</t>
  </si>
  <si>
    <t xml:space="preserve">Reste</t>
  </si>
  <si>
    <r>
      <rPr>
        <sz val="12"/>
        <color rgb="FF4472C4"/>
        <rFont val="Calibri Light"/>
        <family val="2"/>
        <charset val="1"/>
      </rPr>
      <t xml:space="preserve">Bénéfices annuel </t>
    </r>
    <r>
      <rPr>
        <b val="true"/>
        <sz val="12"/>
        <color rgb="FF4472C4"/>
        <rFont val="Calibri Light"/>
        <family val="2"/>
        <charset val="1"/>
      </rPr>
      <t xml:space="preserve">NET</t>
    </r>
  </si>
  <si>
    <r>
      <rPr>
        <sz val="12"/>
        <color rgb="FF4472C4"/>
        <rFont val="Calibri Light"/>
        <family val="2"/>
        <charset val="1"/>
      </rPr>
      <t xml:space="preserve">Benefice mensuel </t>
    </r>
    <r>
      <rPr>
        <b val="true"/>
        <sz val="12"/>
        <color rgb="FF4472C4"/>
        <rFont val="Calibri Light"/>
        <family val="2"/>
        <charset val="1"/>
      </rPr>
      <t xml:space="preserve">NET </t>
    </r>
    <r>
      <rPr>
        <sz val="12"/>
        <color rgb="FF4472C4"/>
        <rFont val="Calibri Light"/>
        <family val="2"/>
        <charset val="1"/>
      </rPr>
      <t xml:space="preserve">(moyenne)</t>
    </r>
  </si>
  <si>
    <t xml:space="preserve">Si structure auto entrepreneur (micro-entreprise)</t>
  </si>
  <si>
    <t xml:space="preserve">Imposition auto-entrepreneur (15% C.A)</t>
  </si>
  <si>
    <t xml:space="preserve">Variation prix revente biere
+/- 30%</t>
  </si>
  <si>
    <t xml:space="preserve">Prix de revente bouteille</t>
  </si>
  <si>
    <t xml:space="preserve">Benefices annuels BRUT</t>
  </si>
  <si>
    <t xml:space="preserve">1 Brassage / Semaine</t>
  </si>
  <si>
    <t xml:space="preserve">2 Brassage / Semaine</t>
  </si>
  <si>
    <t xml:space="preserve">3 Brassage / Semaine</t>
  </si>
  <si>
    <t xml:space="preserve">4 Brassage / Semaine</t>
  </si>
  <si>
    <t xml:space="preserve">Benefices annuels brut
5 Brassages</t>
  </si>
  <si>
    <t xml:space="preserve">Couts et rendements par semaine</t>
  </si>
  <si>
    <t xml:space="preserve">Couts et rendements mensuels (4 semaines)</t>
  </si>
  <si>
    <t xml:space="preserve">Bilan annuel / brassin(s)</t>
  </si>
  <si>
    <t xml:space="preserve">Benefices
NET</t>
  </si>
  <si>
    <r>
      <rPr>
        <sz val="12"/>
        <color rgb="FF4472C4"/>
        <rFont val="Calibri Light"/>
        <family val="2"/>
        <charset val="1"/>
      </rPr>
      <t xml:space="preserve">Benefices mensuel </t>
    </r>
    <r>
      <rPr>
        <b val="true"/>
        <sz val="12"/>
        <color rgb="FF4472C4"/>
        <rFont val="Calibri Light"/>
        <family val="2"/>
        <charset val="1"/>
      </rPr>
      <t xml:space="preserve">NET </t>
    </r>
    <r>
      <rPr>
        <sz val="12"/>
        <color rgb="FF4472C4"/>
        <rFont val="Calibri Light"/>
        <family val="2"/>
        <charset val="1"/>
      </rPr>
      <t xml:space="preserve">moyen</t>
    </r>
  </si>
  <si>
    <t xml:space="preserve">Ratio / catégorie (%)</t>
  </si>
  <si>
    <t xml:space="preserve">Bilan annuel / Brassin(s)</t>
  </si>
  <si>
    <t xml:space="preserve">1 Brass / Semaine</t>
  </si>
  <si>
    <t xml:space="preserve">2 Brass / Semaine</t>
  </si>
  <si>
    <t xml:space="preserve">3 Brass / semaine</t>
  </si>
  <si>
    <t xml:space="preserve">Dépenses (brassins)</t>
  </si>
  <si>
    <r>
      <rPr>
        <sz val="11"/>
        <color rgb="FF000000"/>
        <rFont val="Calibri"/>
        <family val="2"/>
        <charset val="1"/>
      </rPr>
      <t xml:space="preserve">Bénéfice </t>
    </r>
    <r>
      <rPr>
        <u val="single"/>
        <sz val="11"/>
        <color rgb="FF4472C4"/>
        <rFont val="Calibri"/>
        <family val="2"/>
        <charset val="1"/>
      </rPr>
      <t xml:space="preserve">commercial</t>
    </r>
    <r>
      <rPr>
        <sz val="11"/>
        <color rgb="FF000000"/>
        <rFont val="Calibri"/>
        <family val="2"/>
        <charset val="1"/>
      </rPr>
      <t xml:space="preserve"> annuel BRUT</t>
    </r>
  </si>
  <si>
    <t xml:space="preserve">Dépenses annuelles frais fixes</t>
  </si>
  <si>
    <r>
      <rPr>
        <sz val="11"/>
        <color rgb="FF000000"/>
        <rFont val="Calibri"/>
        <family val="2"/>
        <charset val="1"/>
      </rPr>
      <t xml:space="preserve">Bénéfice </t>
    </r>
    <r>
      <rPr>
        <u val="single"/>
        <sz val="11"/>
        <color rgb="FF4472C4"/>
        <rFont val="Calibri"/>
        <family val="2"/>
        <charset val="1"/>
      </rPr>
      <t xml:space="preserve">commercial </t>
    </r>
    <r>
      <rPr>
        <sz val="11"/>
        <color rgb="FF000000"/>
        <rFont val="Calibri"/>
        <family val="2"/>
        <charset val="1"/>
      </rPr>
      <t xml:space="preserve">annuel NET</t>
    </r>
  </si>
  <si>
    <t xml:space="preserve">Bénéfices
NET</t>
  </si>
  <si>
    <r>
      <rPr>
        <sz val="12"/>
        <color rgb="FF4472C4"/>
        <rFont val="Calibri Light"/>
        <family val="2"/>
        <charset val="1"/>
      </rPr>
      <t xml:space="preserve">Bénéfices mensuel </t>
    </r>
    <r>
      <rPr>
        <b val="true"/>
        <sz val="12"/>
        <color rgb="FF4472C4"/>
        <rFont val="Calibri Light"/>
        <family val="2"/>
        <charset val="1"/>
      </rPr>
      <t xml:space="preserve">NET </t>
    </r>
    <r>
      <rPr>
        <sz val="12"/>
        <color rgb="FF4472C4"/>
        <rFont val="Calibri Light"/>
        <family val="2"/>
        <charset val="1"/>
      </rPr>
      <t xml:space="preserve">moyen</t>
    </r>
  </si>
  <si>
    <r>
      <rPr>
        <sz val="12"/>
        <color rgb="FF4472C4"/>
        <rFont val="Calibri Light"/>
        <family val="2"/>
        <charset val="1"/>
      </rPr>
      <t xml:space="preserve">Bénéfice mensuel </t>
    </r>
    <r>
      <rPr>
        <b val="true"/>
        <sz val="12"/>
        <color rgb="FF4472C4"/>
        <rFont val="Calibri Light"/>
        <family val="2"/>
        <charset val="1"/>
      </rPr>
      <t xml:space="preserve">NET </t>
    </r>
    <r>
      <rPr>
        <sz val="12"/>
        <color rgb="FF4472C4"/>
        <rFont val="Calibri Light"/>
        <family val="2"/>
        <charset val="1"/>
      </rPr>
      <t xml:space="preserve">(moyenne)</t>
    </r>
  </si>
  <si>
    <r>
      <rPr>
        <sz val="20"/>
        <color rgb="FFED7D31"/>
        <rFont val="Calibri"/>
        <family val="2"/>
        <charset val="1"/>
      </rPr>
      <t xml:space="preserve">Gestion en temps réel
</t>
    </r>
    <r>
      <rPr>
        <i val="true"/>
        <sz val="12"/>
        <color rgb="FF000000"/>
        <rFont val="Calibri"/>
        <family val="2"/>
        <charset val="1"/>
      </rPr>
      <t xml:space="preserve">Coupler avec cellules C-&gt;E de 78-&gt;84 dans feuillet "Données"
Coupler avec feuillet "Tableau de livraisons"</t>
    </r>
  </si>
  <si>
    <t xml:space="preserve">Brassé</t>
  </si>
  <si>
    <t xml:space="preserve">Capsulé</t>
  </si>
  <si>
    <t xml:space="preserve">En fermentation</t>
  </si>
  <si>
    <t xml:space="preserve">Vendu (livré)</t>
  </si>
  <si>
    <t xml:space="preserve">Stock Capsulé</t>
  </si>
  <si>
    <t xml:space="preserve">Recette La blanche</t>
  </si>
  <si>
    <t xml:space="preserve">Volume (L)</t>
  </si>
  <si>
    <t xml:space="preserve">Situation financière actuelle</t>
  </si>
  <si>
    <t xml:space="preserve">Dépenses Ingrédients</t>
  </si>
  <si>
    <t xml:space="preserve">Taxes micro brasserie (VL vendu réel)</t>
  </si>
  <si>
    <t xml:space="preserve">Total dépenses</t>
  </si>
  <si>
    <t xml:space="preserve">Total Recettes</t>
  </si>
  <si>
    <t xml:space="preserve">Bénéfice commercial brut</t>
  </si>
  <si>
    <t xml:space="preserve">TOTAL réel "tel que" a la fin de l'année fiscale</t>
  </si>
  <si>
    <t xml:space="preserve">Chiffre d'affaire</t>
  </si>
  <si>
    <t xml:space="preserve">Bénéfice commercial BRUT</t>
  </si>
  <si>
    <t xml:space="preserve">Frais fixes annuels</t>
  </si>
  <si>
    <t xml:space="preserve">Bénéfice commercial NET</t>
  </si>
  <si>
    <t xml:space="preserve">Bilan annuel prévisionnel par bière</t>
  </si>
  <si>
    <t xml:space="preserve">Brassins / AN</t>
  </si>
  <si>
    <t xml:space="preserve">Recettes</t>
  </si>
  <si>
    <t xml:space="preserve">Bénéfice commercial 
BRUT</t>
  </si>
  <si>
    <t xml:space="preserve">Total</t>
  </si>
  <si>
    <t xml:space="preserve">Détail bilan annuel prévisionnel</t>
  </si>
  <si>
    <t xml:space="preserve">Bénéfice commercial</t>
  </si>
  <si>
    <r>
      <rPr>
        <sz val="11"/>
        <color rgb="FF000000"/>
        <rFont val="Calibri"/>
        <family val="2"/>
        <charset val="1"/>
      </rPr>
      <t xml:space="preserve">Bénéfice </t>
    </r>
    <r>
      <rPr>
        <u val="single"/>
        <sz val="11"/>
        <color rgb="FF000000"/>
        <rFont val="Calibri"/>
        <family val="2"/>
        <charset val="1"/>
      </rPr>
      <t xml:space="preserve">commercial</t>
    </r>
    <r>
      <rPr>
        <sz val="11"/>
        <color rgb="FF000000"/>
        <rFont val="Calibri"/>
        <family val="2"/>
        <charset val="1"/>
      </rPr>
      <t xml:space="preserve"> BRUT</t>
    </r>
  </si>
  <si>
    <t xml:space="preserve">Charges fixes</t>
  </si>
  <si>
    <r>
      <rPr>
        <sz val="11"/>
        <color rgb="FF000000"/>
        <rFont val="Calibri"/>
        <family val="2"/>
        <charset val="1"/>
      </rPr>
      <t xml:space="preserve">Bénéfice </t>
    </r>
    <r>
      <rPr>
        <u val="single"/>
        <sz val="11"/>
        <color rgb="FF000000"/>
        <rFont val="Calibri"/>
        <family val="2"/>
        <charset val="1"/>
      </rPr>
      <t xml:space="preserve">commercial</t>
    </r>
    <r>
      <rPr>
        <sz val="11"/>
        <color rgb="FF000000"/>
        <rFont val="Calibri"/>
        <family val="2"/>
        <charset val="1"/>
      </rPr>
      <t xml:space="preserve"> NET</t>
    </r>
  </si>
  <si>
    <t xml:space="preserve">Impôts</t>
  </si>
  <si>
    <t xml:space="preserve">Impôts SARL tranche 1  </t>
  </si>
  <si>
    <t xml:space="preserve">Impôts SARL tranche 2  </t>
  </si>
  <si>
    <t xml:space="preserve">Impôts SARL tranche 3  </t>
  </si>
  <si>
    <t xml:space="preserve">Total imposition</t>
  </si>
  <si>
    <t xml:space="preserve">Bénéfice NET</t>
  </si>
  <si>
    <t xml:space="preserve">Bénéfices annuels NET</t>
  </si>
  <si>
    <t xml:space="preserve">Moyenne bénéfices mensuels NET</t>
  </si>
  <si>
    <r>
      <rPr>
        <sz val="14"/>
        <color rgb="FFC55A11"/>
        <rFont val="Calibri"/>
        <family val="2"/>
        <charset val="1"/>
      </rPr>
      <t xml:space="preserve">Remarques :
</t>
    </r>
    <r>
      <rPr>
        <sz val="12"/>
        <color rgb="FFC55A11"/>
        <rFont val="Calibri"/>
        <family val="2"/>
        <charset val="1"/>
      </rPr>
      <t xml:space="preserve">Tableau de livraison grossier (Bordel !!), diviser cout de la livraison (essence, salaires) / nombre de livraisons effectuées lors de la même tournée.</t>
    </r>
  </si>
  <si>
    <t xml:space="preserve">Bouteilles vendues</t>
  </si>
  <si>
    <t xml:space="preserve">Bouteilles 0.75</t>
  </si>
  <si>
    <t xml:space="preserve">Bouteilles 0.33</t>
  </si>
  <si>
    <t xml:space="preserve">Livraisons</t>
  </si>
  <si>
    <t xml:space="preserve">Date</t>
  </si>
  <si>
    <t xml:space="preserve">Client (nom)</t>
  </si>
  <si>
    <t xml:space="preserve">Quantité (Bouteilles)</t>
  </si>
  <si>
    <t xml:space="preserve">Recette</t>
  </si>
  <si>
    <t xml:space="preserve">Frais de LIVRAISON facturé au client</t>
  </si>
  <si>
    <t xml:space="preserve">Cout de la livraison (essence / main d'œuvre / transporteur)</t>
  </si>
  <si>
    <t xml:space="preserve">Yvain</t>
  </si>
  <si>
    <t xml:space="preserve">Akadoc</t>
  </si>
  <si>
    <t xml:space="preserve">Provencal le Gallois</t>
  </si>
  <si>
    <t xml:space="preserve">Interprete</t>
  </si>
  <si>
    <t xml:space="preserve">Merlin</t>
  </si>
  <si>
    <t xml:space="preserve">Jojo l'asticot</t>
  </si>
  <si>
    <t xml:space="preserve">Gauvin</t>
  </si>
  <si>
    <t xml:space="preserve">La poulette</t>
  </si>
  <si>
    <t xml:space="preserve">Bohort</t>
  </si>
  <si>
    <t xml:space="preserve">Karadoc</t>
  </si>
  <si>
    <t xml:space="preserve">Kouillere</t>
  </si>
  <si>
    <t xml:space="preserve">Burgonde</t>
  </si>
  <si>
    <t xml:space="preserve">Investissements</t>
  </si>
  <si>
    <t xml:space="preserve">Nom</t>
  </si>
  <si>
    <t xml:space="preserve">Quantite</t>
  </si>
  <si>
    <t xml:space="preserve">Cout unite</t>
  </si>
  <si>
    <t xml:space="preserve">Cout total</t>
  </si>
  <si>
    <t xml:space="preserve">Total investissements</t>
  </si>
  <si>
    <t xml:space="preserve">Salle brassage</t>
  </si>
  <si>
    <t xml:space="preserve">Fermenteur</t>
  </si>
  <si>
    <t xml:space="preserve">Four</t>
  </si>
  <si>
    <t xml:space="preserve">Outils divers</t>
  </si>
  <si>
    <t xml:space="preserve">Bruleurs gaz</t>
  </si>
  <si>
    <t xml:space="preserve">Transpalette</t>
  </si>
  <si>
    <t xml:space="preserve">Capsuleuse</t>
  </si>
  <si>
    <t xml:space="preserve">Refregirateur</t>
  </si>
  <si>
    <t xml:space="preserve">Congelateur</t>
  </si>
  <si>
    <t xml:space="preserve">Camion de livraison</t>
  </si>
  <si>
    <t xml:space="preserve">Renovation locaux</t>
  </si>
  <si>
    <t xml:space="preserve">1 Brassage / semaine</t>
  </si>
  <si>
    <t xml:space="preserve">2 Brassages / semaine</t>
  </si>
  <si>
    <t xml:space="preserve">3 Brassages / semaine</t>
  </si>
  <si>
    <t xml:space="preserve">4 Brassages / semaine</t>
  </si>
  <si>
    <t xml:space="preserve">Benefices additionels BRUT selon decotes houblon / malt</t>
  </si>
  <si>
    <t xml:space="preserve">Par brassage</t>
  </si>
  <si>
    <t xml:space="preserve">Mois a 1 brassage semaine</t>
  </si>
  <si>
    <t xml:space="preserve">Mois a 2 brassage semaine</t>
  </si>
  <si>
    <t xml:space="preserve">Mois a 3 brassage semaine</t>
  </si>
  <si>
    <t xml:space="preserve">Mois a 4 brassage semaine</t>
  </si>
  <si>
    <t xml:space="preserve">Annuel 1 Brassage / semaine</t>
  </si>
  <si>
    <t xml:space="preserve">Annuel 2 brassages / semaine</t>
  </si>
  <si>
    <t xml:space="preserve">Annuel 3 brassages / semaine</t>
  </si>
  <si>
    <t xml:space="preserve">Annuel 4 brassages / semaine</t>
  </si>
  <si>
    <t xml:space="preserve">Standart (sans decote)</t>
  </si>
  <si>
    <t xml:space="preserve">Si decote houblon #1</t>
  </si>
  <si>
    <t xml:space="preserve">Si decote houblon #2</t>
  </si>
  <si>
    <t xml:space="preserve">Si decote malte #1</t>
  </si>
  <si>
    <t xml:space="preserve">Si decote malte #2</t>
  </si>
  <si>
    <t xml:space="preserve">Si decote malt et houblon #1</t>
  </si>
  <si>
    <t xml:space="preserve">Si decote malt et houblon #2</t>
  </si>
  <si>
    <t xml:space="preserve">Si decote malt #1 et houblon #2</t>
  </si>
  <si>
    <t xml:space="preserve">Si decote malt #2 et houblon #1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</si>
</sst>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0.0"/>
    <numFmt numFmtId="167" formatCode="dd/mm/yyyy"/>
    <numFmt numFmtId="168" formatCode="General"/>
    <numFmt numFmtId="169" formatCode="0.00"/>
    <numFmt numFmtId="170" formatCode="#,##0.00"/>
    <numFmt numFmtId="171" formatCode="#,##0"/>
    <numFmt numFmtId="172" formatCode="[$EUR]\ #,##0.00"/>
    <numFmt numFmtId="173" formatCode="0\ %"/>
    <numFmt numFmtId="174" formatCode="dd/mm/yy;@"/>
    <numFmt numFmtId="175" formatCode="[$-40C]d\ mmmm\ yyyy;@"/>
  </numFmts>
  <fonts count="10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2"/>
      <color rgb="FF4472C4"/>
      <name val="Calibri"/>
      <family val="2"/>
      <charset val="1"/>
    </font>
    <font>
      <sz val="11.5"/>
      <color rgb="FF4472C4"/>
      <name val="Calibri"/>
      <family val="2"/>
      <charset val="1"/>
    </font>
    <font>
      <sz val="14"/>
      <color rgb="FF4472C4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1.5"/>
      <color rgb="FF000000"/>
      <name val="Calibri Light"/>
      <family val="2"/>
      <charset val="1"/>
    </font>
    <font>
      <sz val="13"/>
      <color rgb="FF000000"/>
      <name val="Calibri"/>
      <family val="2"/>
      <charset val="1"/>
    </font>
    <font>
      <b val="true"/>
      <sz val="13"/>
      <color rgb="FF2F5597"/>
      <name val="Calibri"/>
      <family val="2"/>
      <charset val="1"/>
    </font>
    <font>
      <sz val="11.5"/>
      <color rgb="FF2F5597"/>
      <name val="Calibri Light"/>
      <family val="2"/>
      <charset val="1"/>
    </font>
    <font>
      <b val="true"/>
      <sz val="13"/>
      <color rgb="FFED7D31"/>
      <name val="Calibri"/>
      <family val="2"/>
      <charset val="1"/>
    </font>
    <font>
      <sz val="11.5"/>
      <color rgb="FFED7D31"/>
      <name val="Calibri Light"/>
      <family val="2"/>
      <charset val="1"/>
    </font>
    <font>
      <sz val="13"/>
      <color rgb="FFED7D31"/>
      <name val="Calibri"/>
      <family val="2"/>
      <charset val="1"/>
    </font>
    <font>
      <sz val="11"/>
      <color rgb="FFED7D31"/>
      <name val="Calibri"/>
      <family val="2"/>
      <charset val="1"/>
    </font>
    <font>
      <sz val="13"/>
      <color rgb="FF2F5597"/>
      <name val="Calibri"/>
      <family val="2"/>
      <charset val="1"/>
    </font>
    <font>
      <sz val="11"/>
      <color rgb="FF2F5597"/>
      <name val="Calibri"/>
      <family val="2"/>
      <charset val="1"/>
    </font>
    <font>
      <sz val="11.5"/>
      <color rgb="FFC00000"/>
      <name val="Calibri Light"/>
      <family val="2"/>
      <charset val="1"/>
    </font>
    <font>
      <b val="true"/>
      <sz val="13"/>
      <name val="Calibri"/>
      <family val="2"/>
      <charset val="1"/>
    </font>
    <font>
      <sz val="11.5"/>
      <name val="Calibri Light"/>
      <family val="2"/>
      <charset val="1"/>
    </font>
    <font>
      <sz val="12"/>
      <color rgb="FF000000"/>
      <name val="Calibri"/>
      <family val="2"/>
      <charset val="1"/>
    </font>
    <font>
      <sz val="11.5"/>
      <color rgb="FF843C0B"/>
      <name val="Calibri Light"/>
      <family val="2"/>
      <charset val="1"/>
    </font>
    <font>
      <sz val="18"/>
      <color rgb="FF000000"/>
      <name val="Calibri"/>
      <family val="2"/>
      <charset val="1"/>
    </font>
    <font>
      <sz val="16"/>
      <color rgb="FFC55A11"/>
      <name val="Calibri"/>
      <family val="2"/>
      <charset val="1"/>
    </font>
    <font>
      <sz val="12"/>
      <color rgb="FFED7D31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2F5597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BF9000"/>
      <name val="Calibri"/>
      <family val="2"/>
      <charset val="1"/>
    </font>
    <font>
      <b val="true"/>
      <sz val="11.5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.5"/>
      <color rgb="FF4472C4"/>
      <name val="Calibri"/>
      <family val="2"/>
      <charset val="1"/>
    </font>
    <font>
      <b val="true"/>
      <sz val="11.5"/>
      <color rgb="FF70AD47"/>
      <name val="Calibri"/>
      <family val="2"/>
      <charset val="1"/>
    </font>
    <font>
      <b val="true"/>
      <sz val="12"/>
      <color rgb="FF70AD47"/>
      <name val="Calibri"/>
      <family val="2"/>
      <charset val="1"/>
    </font>
    <font>
      <sz val="11.5"/>
      <color rgb="FF000000"/>
      <name val="Calibri"/>
      <family val="2"/>
      <charset val="1"/>
    </font>
    <font>
      <b val="true"/>
      <sz val="12"/>
      <color rgb="FF843C0B"/>
      <name val="Calibri"/>
      <family val="2"/>
      <charset val="1"/>
    </font>
    <font>
      <sz val="12"/>
      <color rgb="FF843C0B"/>
      <name val="Calibri"/>
      <family val="2"/>
      <charset val="1"/>
    </font>
    <font>
      <b val="true"/>
      <sz val="13"/>
      <color rgb="FFC55A11"/>
      <name val="Calibri"/>
      <family val="2"/>
      <charset val="1"/>
    </font>
    <font>
      <b val="true"/>
      <sz val="12"/>
      <color rgb="FF7030A0"/>
      <name val="Calibri"/>
      <family val="2"/>
      <charset val="1"/>
    </font>
    <font>
      <b val="true"/>
      <sz val="12"/>
      <color rgb="FF2E75B6"/>
      <name val="Calibri"/>
      <family val="2"/>
      <charset val="1"/>
    </font>
    <font>
      <b val="true"/>
      <sz val="13"/>
      <color rgb="FF7030A0"/>
      <name val="Calibri"/>
      <family val="2"/>
      <charset val="1"/>
    </font>
    <font>
      <b val="true"/>
      <sz val="14"/>
      <color rgb="FF2E75B6"/>
      <name val="Calibri"/>
      <family val="2"/>
      <charset val="1"/>
    </font>
    <font>
      <sz val="16"/>
      <color rgb="FFFF0000"/>
      <name val="Calibri"/>
      <family val="2"/>
      <charset val="1"/>
    </font>
    <font>
      <b val="true"/>
      <sz val="11.5"/>
      <color rgb="FF843C0B"/>
      <name val="Calibri"/>
      <family val="2"/>
      <charset val="1"/>
    </font>
    <font>
      <sz val="13"/>
      <color rgb="FF4472C4"/>
      <name val="Calibri"/>
      <family val="2"/>
      <charset val="1"/>
    </font>
    <font>
      <b val="true"/>
      <sz val="12"/>
      <color rgb="FFED7D31"/>
      <name val="Calibri Light"/>
      <family val="2"/>
      <charset val="1"/>
    </font>
    <font>
      <sz val="12"/>
      <color rgb="FF4472C4"/>
      <name val="Calibri"/>
      <family val="2"/>
      <charset val="1"/>
    </font>
    <font>
      <u val="single"/>
      <sz val="11"/>
      <color rgb="FF4472C4"/>
      <name val="Calibri"/>
      <family val="2"/>
      <charset val="1"/>
    </font>
    <font>
      <u val="single"/>
      <sz val="10"/>
      <color rgb="FF4472C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000000"/>
      <name val="Calibri Light"/>
      <family val="2"/>
      <charset val="1"/>
    </font>
    <font>
      <b val="true"/>
      <sz val="12"/>
      <color rgb="FFFF0000"/>
      <name val="Calibri Light"/>
      <family val="2"/>
      <charset val="1"/>
    </font>
    <font>
      <sz val="10"/>
      <color rgb="FF333333"/>
      <name val="Calibri"/>
      <family val="2"/>
      <charset val="1"/>
    </font>
    <font>
      <sz val="10"/>
      <color rgb="FF3E3E3E"/>
      <name val="Calibri"/>
      <family val="2"/>
      <charset val="1"/>
    </font>
    <font>
      <sz val="12"/>
      <color rgb="FFC55A11"/>
      <name val="Calibri"/>
      <family val="2"/>
      <charset val="1"/>
    </font>
    <font>
      <b val="true"/>
      <sz val="12"/>
      <color rgb="FF4472C4"/>
      <name val="Calibri Light"/>
      <family val="2"/>
      <charset val="1"/>
    </font>
    <font>
      <sz val="12"/>
      <color rgb="FF4472C4"/>
      <name val="Calibri Light"/>
      <family val="2"/>
      <charset val="1"/>
    </font>
    <font>
      <b val="true"/>
      <sz val="12"/>
      <color rgb="FF000000"/>
      <name val="Calibri Light"/>
      <family val="2"/>
      <charset val="1"/>
    </font>
    <font>
      <sz val="10"/>
      <color rgb="FFC55A11"/>
      <name val="Calibri"/>
      <family val="2"/>
      <charset val="1"/>
    </font>
    <font>
      <sz val="16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b val="true"/>
      <sz val="11.5"/>
      <color rgb="FF2E75B6"/>
      <name val="Calibri"/>
      <family val="2"/>
      <charset val="1"/>
    </font>
    <font>
      <b val="true"/>
      <sz val="14"/>
      <color rgb="FF000000"/>
      <name val="Calibri Light"/>
      <family val="2"/>
      <charset val="1"/>
    </font>
    <font>
      <b val="true"/>
      <sz val="12"/>
      <color rgb="FFBF9000"/>
      <name val="Calibri"/>
      <family val="2"/>
      <charset val="1"/>
    </font>
    <font>
      <sz val="11.5"/>
      <color rgb="FFFF0000"/>
      <name val="Calibri"/>
      <family val="2"/>
      <charset val="1"/>
    </font>
    <font>
      <sz val="11.5"/>
      <color rgb="FF70AD47"/>
      <name val="Calibri"/>
      <family val="2"/>
      <charset val="1"/>
    </font>
    <font>
      <b val="true"/>
      <sz val="13"/>
      <color rgb="FF4472C4"/>
      <name val="Calibri"/>
      <family val="2"/>
      <charset val="1"/>
    </font>
    <font>
      <sz val="14"/>
      <color rgb="FF595959"/>
      <name val="Calibri"/>
      <family val="2"/>
    </font>
    <font>
      <sz val="10"/>
      <color rgb="FF000000"/>
      <name val="Calibri"/>
      <family val="2"/>
    </font>
    <font>
      <sz val="9"/>
      <color rgb="FF595959"/>
      <name val="Calibri"/>
      <family val="2"/>
    </font>
    <font>
      <sz val="14"/>
      <color rgb="FFFFFFFF"/>
      <name val="Calibri"/>
      <family val="2"/>
    </font>
    <font>
      <b val="true"/>
      <sz val="10.5"/>
      <color rgb="FF595959"/>
      <name val="Calibri"/>
      <family val="2"/>
    </font>
    <font>
      <sz val="16"/>
      <color rgb="FF595959"/>
      <name val="Calibri"/>
      <family val="2"/>
    </font>
    <font>
      <sz val="20"/>
      <color rgb="FFED7D31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3"/>
      <color rgb="FF4472C4"/>
      <name val="Calibri Light"/>
      <family val="2"/>
      <charset val="1"/>
    </font>
    <font>
      <b val="true"/>
      <sz val="15"/>
      <color rgb="FF000000"/>
      <name val="Calibri"/>
      <family val="2"/>
      <charset val="1"/>
    </font>
    <font>
      <sz val="11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2"/>
      <name val="Calibri Light"/>
      <family val="2"/>
      <charset val="1"/>
    </font>
    <font>
      <b val="true"/>
      <sz val="11"/>
      <name val="Calibri"/>
      <family val="2"/>
      <charset val="1"/>
    </font>
    <font>
      <sz val="11"/>
      <color rgb="FF4472C4"/>
      <name val="Calibri Light"/>
      <family val="2"/>
      <charset val="1"/>
    </font>
    <font>
      <b val="true"/>
      <sz val="14"/>
      <color rgb="FF2F5597"/>
      <name val="Calibri Light"/>
      <family val="2"/>
      <charset val="1"/>
    </font>
    <font>
      <b val="true"/>
      <sz val="16"/>
      <color rgb="FF70AD47"/>
      <name val="Calibri Light"/>
      <family val="2"/>
      <charset val="1"/>
    </font>
    <font>
      <sz val="11"/>
      <name val="Calibri Light"/>
      <family val="2"/>
      <charset val="1"/>
    </font>
    <font>
      <b val="true"/>
      <sz val="11"/>
      <color rgb="FFFF0000"/>
      <name val="Calibri Light"/>
      <family val="2"/>
      <charset val="1"/>
    </font>
    <font>
      <b val="true"/>
      <sz val="11"/>
      <color rgb="FF4472C4"/>
      <name val="Calibri Light"/>
      <family val="2"/>
      <charset val="1"/>
    </font>
    <font>
      <sz val="11.5"/>
      <color rgb="FF2E75B6"/>
      <name val="Calibri"/>
      <family val="2"/>
      <charset val="1"/>
    </font>
    <font>
      <b val="true"/>
      <sz val="11"/>
      <color rgb="FF000000"/>
      <name val="Calibri Light"/>
      <family val="2"/>
      <charset val="1"/>
    </font>
    <font>
      <sz val="12"/>
      <color rgb="FF000000"/>
      <name val="Calibri Light"/>
      <family val="2"/>
      <charset val="1"/>
    </font>
    <font>
      <b val="true"/>
      <sz val="11.5"/>
      <color rgb="FF000000"/>
      <name val="Calibri"/>
      <family val="2"/>
      <charset val="1"/>
    </font>
    <font>
      <sz val="13"/>
      <color rgb="FF000000"/>
      <name val="Calibri Light"/>
      <family val="2"/>
      <charset val="1"/>
    </font>
    <font>
      <u val="singl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4"/>
      <color rgb="FFC55A11"/>
      <name val="Calibri"/>
      <family val="2"/>
      <charset val="1"/>
    </font>
    <font>
      <sz val="12"/>
      <color rgb="FF333333"/>
      <name val="Calibri"/>
      <family val="2"/>
      <charset val="1"/>
    </font>
    <font>
      <b val="true"/>
      <sz val="11"/>
      <color rgb="FF2F5597"/>
      <name val="Calibri"/>
      <family val="2"/>
      <charset val="1"/>
    </font>
    <font>
      <b val="true"/>
      <sz val="14"/>
      <color rgb="FF4472C4"/>
      <name val="Calibri"/>
      <family val="2"/>
      <charset val="1"/>
    </font>
    <font>
      <b val="true"/>
      <sz val="11"/>
      <color rgb="FF4472C4"/>
      <name val="Calibri"/>
      <family val="2"/>
      <charset val="1"/>
    </font>
    <font>
      <sz val="12"/>
      <color rgb="FF000000"/>
      <name val="Book Antiqua"/>
      <family val="1"/>
      <charset val="1"/>
    </font>
    <font>
      <sz val="10"/>
      <color rgb="FF000000"/>
      <name val="Book Antiqua"/>
      <family val="1"/>
      <charset val="1"/>
    </font>
    <font>
      <b val="true"/>
      <sz val="10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FFFFF"/>
        <bgColor rgb="FFF2F8EE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DAE3F3"/>
        <bgColor rgb="FFDEEBF7"/>
      </patternFill>
    </fill>
    <fill>
      <patternFill patternType="solid">
        <fgColor rgb="FFDEEBF7"/>
        <bgColor rgb="FFDCEFFE"/>
      </patternFill>
    </fill>
    <fill>
      <patternFill patternType="solid">
        <fgColor rgb="FFF8CBAD"/>
        <bgColor rgb="FFFFE699"/>
      </patternFill>
    </fill>
    <fill>
      <patternFill patternType="solid">
        <fgColor rgb="FFDCEFFE"/>
        <bgColor rgb="FFDEEBF7"/>
      </patternFill>
    </fill>
    <fill>
      <patternFill patternType="solid">
        <fgColor rgb="FFF2F2F2"/>
        <bgColor rgb="FFF2F8EE"/>
      </patternFill>
    </fill>
    <fill>
      <patternFill patternType="solid">
        <fgColor rgb="FFE7EFFF"/>
        <bgColor rgb="FFDCEFFE"/>
      </patternFill>
    </fill>
    <fill>
      <patternFill patternType="solid">
        <fgColor rgb="FFC5E0B4"/>
        <bgColor rgb="FFD9D9D9"/>
      </patternFill>
    </fill>
    <fill>
      <patternFill patternType="solid">
        <fgColor rgb="FFF2F8EE"/>
        <bgColor rgb="FFF2F2F2"/>
      </patternFill>
    </fill>
    <fill>
      <patternFill patternType="solid">
        <fgColor rgb="FFFBE5D6"/>
        <bgColor rgb="FFFFF2CC"/>
      </patternFill>
    </fill>
  </fills>
  <borders count="5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4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4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4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4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6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4" borderId="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3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7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7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7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3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8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8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8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8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4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5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8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8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8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2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3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4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3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3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3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4" fillId="3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9" fillId="1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4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3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4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2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3" borderId="4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4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1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3" fillId="3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4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6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3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6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3" fillId="3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4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6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8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5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2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4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2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5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57" fillId="3" borderId="0" xfId="0" applyFont="true" applyBorder="true" applyAlignment="true" applyProtection="false">
      <alignment horizontal="right" vertical="center" textRotation="0" wrapText="false" indent="0" shrinkToFit="false" readingOrder="1"/>
      <protection locked="true" hidden="false"/>
    </xf>
    <xf numFmtId="170" fontId="58" fillId="3" borderId="0" xfId="0" applyFont="true" applyBorder="true" applyAlignment="true" applyProtection="false">
      <alignment horizontal="right" vertical="center" textRotation="0" wrapText="false" indent="0" shrinkToFit="false" readingOrder="1"/>
      <protection locked="true" hidden="false"/>
    </xf>
    <xf numFmtId="170" fontId="3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4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9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9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9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0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1" fillId="4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2" fillId="1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2" fillId="12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1" fillId="4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6" fillId="1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6" fillId="1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3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1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2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3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3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6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7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9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9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1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5" fillId="11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9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1" fillId="4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1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1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1" fillId="4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3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1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8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8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9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0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3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2" fillId="3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3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11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11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0" borderId="5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9" fillId="0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1" fillId="4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1" fillId="1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1" fillId="1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1" fillId="1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1" fillId="4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1" fillId="14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1" fillId="1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1" fillId="14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4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59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9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1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1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1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1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12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4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4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4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1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1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1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1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2" fillId="1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12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1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1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1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12" borderId="4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12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1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1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3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2" borderId="3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2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2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2" borderId="3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3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3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2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5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2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3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2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3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6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87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8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7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2" fillId="7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2" fillId="7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9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0" fillId="2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9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1" fillId="3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9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2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3" fillId="4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4" fillId="4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8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8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4" fillId="8" borderId="4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8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5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5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32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1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8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4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5" fontId="9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2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2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6" fillId="0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3">
    <dxf>
      <font>
        <b val="1"/>
        <i val="0"/>
        <color rgb="FFED7D31"/>
      </font>
    </dxf>
    <dxf>
      <font>
        <b val="1"/>
        <i val="0"/>
        <strike val="0"/>
        <color rgb="FFFF0000"/>
      </font>
    </dxf>
    <dxf>
      <font>
        <b val="1"/>
        <i val="0"/>
        <color rgb="FFED7D31"/>
      </font>
    </dxf>
    <dxf>
      <font>
        <b val="1"/>
        <i val="0"/>
        <strike val="0"/>
        <color rgb="FFFF0000"/>
      </font>
    </dxf>
    <dxf>
      <font>
        <b val="0"/>
        <i val="1"/>
        <strike val="0"/>
        <color rgb="FFFF0000"/>
      </font>
    </dxf>
    <dxf>
      <font>
        <b val="1"/>
        <i val="0"/>
        <color rgb="FFED7D31"/>
      </font>
    </dxf>
    <dxf>
      <font>
        <b val="1"/>
        <i val="0"/>
        <strike val="0"/>
        <color rgb="FFFF0000"/>
      </font>
    </dxf>
    <dxf>
      <font>
        <b val="0"/>
        <i val="1"/>
        <color rgb="FFFF0000"/>
      </font>
    </dxf>
    <dxf>
      <fill>
        <patternFill>
          <bgColor rgb="FFC5E0B4"/>
        </patternFill>
      </fill>
    </dxf>
    <dxf>
      <fill>
        <patternFill>
          <bgColor rgb="FFFFE699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2F5597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2F8EE"/>
      <rgbColor rgb="FFFF00FF"/>
      <rgbColor rgb="FF00FFFF"/>
      <rgbColor rgb="FFC00000"/>
      <rgbColor rgb="FF008000"/>
      <rgbColor rgb="FF000080"/>
      <rgbColor rgb="FFC55A11"/>
      <rgbColor rgb="FF800080"/>
      <rgbColor rgb="FF008080"/>
      <rgbColor rgb="FFC5E0B4"/>
      <rgbColor rgb="FF8B8B8B"/>
      <rgbColor rgb="FFE7EFFF"/>
      <rgbColor rgb="FF7030A0"/>
      <rgbColor rgb="FFFFF2CC"/>
      <rgbColor rgb="FFDCEFFE"/>
      <rgbColor rgb="FF660066"/>
      <rgbColor rgb="FFF2F2F2"/>
      <rgbColor rgb="FF2E75B6"/>
      <rgbColor rgb="FFD9D9D9"/>
      <rgbColor rgb="FF000080"/>
      <rgbColor rgb="FFFF00FF"/>
      <rgbColor rgb="FFEDEDED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FE699"/>
      <rgbColor rgb="FFDAE3F3"/>
      <rgbColor rgb="FFFBE5D6"/>
      <rgbColor rgb="FFE7E6E6"/>
      <rgbColor rgb="FFF8CBAD"/>
      <rgbColor rgb="FF4472C4"/>
      <rgbColor rgb="FF33CCCC"/>
      <rgbColor rgb="FF99CC00"/>
      <rgbColor rgb="FFFFC000"/>
      <rgbColor rgb="FFBF9000"/>
      <rgbColor rgb="FFED7D31"/>
      <rgbColor rgb="FF595959"/>
      <rgbColor rgb="FFA5A5A5"/>
      <rgbColor rgb="FF003366"/>
      <rgbColor rgb="FF70AD47"/>
      <rgbColor rgb="FF003300"/>
      <rgbColor rgb="FF3E3E3E"/>
      <rgbColor rgb="FF843C0B"/>
      <rgbColor rgb="FF9E480E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en-US" sz="1400" spc="-1" strike="noStrike">
                <a:solidFill>
                  <a:srgbClr val="595959"/>
                </a:solidFill>
                <a:latin typeface="Calibri"/>
              </a:rPr>
              <a:t>Bénéfices mensuels BRUT selon # brassages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'Projections Recette 3'!$D$56</c:f>
              <c:strCache>
                <c:ptCount val="1"/>
                <c:pt idx="0">
                  <c:v>1 Brass / Semaine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3'!$C$63</c:f>
              <c:strCache>
                <c:ptCount val="1"/>
                <c:pt idx="0">
                  <c:v>Bénéfices commercial mensuel moyen NET</c:v>
                </c:pt>
              </c:strCache>
            </c:strRef>
          </c:cat>
          <c:val>
            <c:numRef>
              <c:f>'Projections Recette 3'!$D$63</c:f>
              <c:numCache>
                <c:formatCode>General</c:formatCode>
                <c:ptCount val="1"/>
                <c:pt idx="0">
                  <c:v>423.623558052434</c:v>
                </c:pt>
              </c:numCache>
            </c:numRef>
          </c:val>
        </c:ser>
        <c:ser>
          <c:idx val="1"/>
          <c:order val="1"/>
          <c:tx>
            <c:strRef>
              <c:f>'Projections Recette 3'!$E$56</c:f>
              <c:strCache>
                <c:ptCount val="1"/>
                <c:pt idx="0">
                  <c:v>2 Brass / Semaine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3'!$C$63</c:f>
              <c:strCache>
                <c:ptCount val="1"/>
                <c:pt idx="0">
                  <c:v>Bénéfices commercial mensuel moyen NET</c:v>
                </c:pt>
              </c:strCache>
            </c:strRef>
          </c:cat>
          <c:val>
            <c:numRef>
              <c:f>'Projections Recette 3'!$E$63</c:f>
              <c:numCache>
                <c:formatCode>General</c:formatCode>
                <c:ptCount val="1"/>
                <c:pt idx="0">
                  <c:v>860.847116104866</c:v>
                </c:pt>
              </c:numCache>
            </c:numRef>
          </c:val>
        </c:ser>
        <c:ser>
          <c:idx val="2"/>
          <c:order val="2"/>
          <c:tx>
            <c:strRef>
              <c:f>'Projections Recette 3'!$F$56</c:f>
              <c:strCache>
                <c:ptCount val="1"/>
                <c:pt idx="0">
                  <c:v>3 Brass / semaine</c:v>
                </c:pt>
              </c:strCache>
            </c:strRef>
          </c:tx>
          <c:spPr>
            <a:solidFill>
              <a:srgbClr val="a5a5a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3'!$C$63</c:f>
              <c:strCache>
                <c:ptCount val="1"/>
                <c:pt idx="0">
                  <c:v>Bénéfices commercial mensuel moyen NET</c:v>
                </c:pt>
              </c:strCache>
            </c:strRef>
          </c:cat>
          <c:val>
            <c:numRef>
              <c:f>'Projections Recette 3'!$F$63</c:f>
              <c:numCache>
                <c:formatCode>General</c:formatCode>
                <c:ptCount val="1"/>
                <c:pt idx="0">
                  <c:v>1298.0706741573</c:v>
                </c:pt>
              </c:numCache>
            </c:numRef>
          </c:val>
        </c:ser>
        <c:gapWidth val="182"/>
        <c:overlap val="0"/>
        <c:axId val="58068754"/>
        <c:axId val="92800361"/>
      </c:barChart>
      <c:catAx>
        <c:axId val="5806875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2800361"/>
        <c:auto val="1"/>
        <c:lblAlgn val="ctr"/>
        <c:lblOffset val="100"/>
        <c:noMultiLvlLbl val="0"/>
      </c:catAx>
      <c:valAx>
        <c:axId val="9280036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806875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0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sideWall>
      <c:spPr>
        <a:noFill/>
        <a:ln w="6480">
          <a:noFill/>
        </a:ln>
      </c:spPr>
    </c:sideWall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'Projections Recette 1'!$F$213</c:f>
              <c:strCache>
                <c:ptCount val="1"/>
                <c:pt idx="0">
                  <c:v>1 Brassage / Semaine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1'!$D$215:$D$227</c:f>
              <c:strCache>
                <c:ptCount val="13"/>
                <c:pt idx="0">
                  <c:v>1,75 (-30%)</c:v>
                </c:pt>
                <c:pt idx="1">
                  <c:v>1,875 (-25%)</c:v>
                </c:pt>
                <c:pt idx="2">
                  <c:v>2 (-20%)</c:v>
                </c:pt>
                <c:pt idx="3">
                  <c:v>2,125 (-15%)</c:v>
                </c:pt>
                <c:pt idx="4">
                  <c:v>2,25 (-10%)</c:v>
                </c:pt>
                <c:pt idx="5">
                  <c:v>2,375 (-5%)</c:v>
                </c:pt>
                <c:pt idx="6">
                  <c:v>2,50</c:v>
                </c:pt>
                <c:pt idx="7">
                  <c:v>2,625 (+5%)</c:v>
                </c:pt>
                <c:pt idx="8">
                  <c:v>2,75 (+10%)</c:v>
                </c:pt>
                <c:pt idx="9">
                  <c:v>2,875 (+15%)</c:v>
                </c:pt>
                <c:pt idx="10">
                  <c:v>3 (+20%)</c:v>
                </c:pt>
                <c:pt idx="11">
                  <c:v>3,125 (+25%)</c:v>
                </c:pt>
                <c:pt idx="12">
                  <c:v>3,25 (+30%)</c:v>
                </c:pt>
              </c:strCache>
            </c:strRef>
          </c:cat>
          <c:val>
            <c:numRef>
              <c:f>'Projections Recette 1'!$F$215:$F$227</c:f>
              <c:numCache>
                <c:formatCode>General</c:formatCode>
                <c:ptCount val="13"/>
                <c:pt idx="0">
                  <c:v>-8482.82723595506</c:v>
                </c:pt>
                <c:pt idx="1">
                  <c:v>-7069.02269662921</c:v>
                </c:pt>
                <c:pt idx="2">
                  <c:v>-5655.21815730337</c:v>
                </c:pt>
                <c:pt idx="3">
                  <c:v>-4241.41361797753</c:v>
                </c:pt>
                <c:pt idx="4">
                  <c:v>-2827.60907865168</c:v>
                </c:pt>
                <c:pt idx="5">
                  <c:v>-1413.80453932584</c:v>
                </c:pt>
                <c:pt idx="6">
                  <c:v>0</c:v>
                </c:pt>
                <c:pt idx="7">
                  <c:v>1413.80453932584</c:v>
                </c:pt>
                <c:pt idx="8">
                  <c:v>2827.60907865169</c:v>
                </c:pt>
                <c:pt idx="9">
                  <c:v>4241.41361797753</c:v>
                </c:pt>
                <c:pt idx="10">
                  <c:v>5655.21815730337</c:v>
                </c:pt>
                <c:pt idx="11">
                  <c:v>7069.02269662921</c:v>
                </c:pt>
                <c:pt idx="12">
                  <c:v>8482.82723595506</c:v>
                </c:pt>
              </c:numCache>
            </c:numRef>
          </c:val>
        </c:ser>
        <c:ser>
          <c:idx val="1"/>
          <c:order val="1"/>
          <c:tx>
            <c:strRef>
              <c:f>'Projections Recette 1'!$H$213</c:f>
              <c:strCache>
                <c:ptCount val="1"/>
                <c:pt idx="0">
                  <c:v>2 Brassage / Semaine</c:v>
                </c:pt>
              </c:strCache>
            </c:strRef>
          </c:tx>
          <c:spPr>
            <a:solidFill>
              <a:srgbClr val="ffc000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1'!$D$215:$D$227</c:f>
              <c:strCache>
                <c:ptCount val="13"/>
                <c:pt idx="0">
                  <c:v>1,75 (-30%)</c:v>
                </c:pt>
                <c:pt idx="1">
                  <c:v>1,875 (-25%)</c:v>
                </c:pt>
                <c:pt idx="2">
                  <c:v>2 (-20%)</c:v>
                </c:pt>
                <c:pt idx="3">
                  <c:v>2,125 (-15%)</c:v>
                </c:pt>
                <c:pt idx="4">
                  <c:v>2,25 (-10%)</c:v>
                </c:pt>
                <c:pt idx="5">
                  <c:v>2,375 (-5%)</c:v>
                </c:pt>
                <c:pt idx="6">
                  <c:v>2,50</c:v>
                </c:pt>
                <c:pt idx="7">
                  <c:v>2,625 (+5%)</c:v>
                </c:pt>
                <c:pt idx="8">
                  <c:v>2,75 (+10%)</c:v>
                </c:pt>
                <c:pt idx="9">
                  <c:v>2,875 (+15%)</c:v>
                </c:pt>
                <c:pt idx="10">
                  <c:v>3 (+20%)</c:v>
                </c:pt>
                <c:pt idx="11">
                  <c:v>3,125 (+25%)</c:v>
                </c:pt>
                <c:pt idx="12">
                  <c:v>3,25 (+30%)</c:v>
                </c:pt>
              </c:strCache>
            </c:strRef>
          </c:cat>
          <c:val>
            <c:numRef>
              <c:f>'Projections Recette 1'!$H$215:$H$227</c:f>
              <c:numCache>
                <c:formatCode>General</c:formatCode>
                <c:ptCount val="13"/>
                <c:pt idx="0">
                  <c:v>-16916.6944719101</c:v>
                </c:pt>
                <c:pt idx="1">
                  <c:v>-14097.2453932584</c:v>
                </c:pt>
                <c:pt idx="2">
                  <c:v>-11277.7963146067</c:v>
                </c:pt>
                <c:pt idx="3">
                  <c:v>-8458.34723595506</c:v>
                </c:pt>
                <c:pt idx="4">
                  <c:v>-5638.89815730337</c:v>
                </c:pt>
                <c:pt idx="5">
                  <c:v>-2819.44907865169</c:v>
                </c:pt>
                <c:pt idx="6">
                  <c:v>0</c:v>
                </c:pt>
                <c:pt idx="7">
                  <c:v>2819.44907865169</c:v>
                </c:pt>
                <c:pt idx="8">
                  <c:v>5638.89815730337</c:v>
                </c:pt>
                <c:pt idx="9">
                  <c:v>8458.34723595505</c:v>
                </c:pt>
                <c:pt idx="10">
                  <c:v>11277.7963146067</c:v>
                </c:pt>
                <c:pt idx="11">
                  <c:v>14097.2453932584</c:v>
                </c:pt>
                <c:pt idx="12">
                  <c:v>16916.6944719101</c:v>
                </c:pt>
              </c:numCache>
            </c:numRef>
          </c:val>
        </c:ser>
        <c:ser>
          <c:idx val="2"/>
          <c:order val="2"/>
          <c:tx>
            <c:strRef>
              <c:f>'Projections Recette 1'!$J$213</c:f>
              <c:strCache>
                <c:ptCount val="1"/>
                <c:pt idx="0">
                  <c:v>3 Brassage / Semaine</c:v>
                </c:pt>
              </c:strCache>
            </c:strRef>
          </c:tx>
          <c:spPr>
            <a:solidFill>
              <a:srgbClr val="70ad47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1'!$D$215:$D$227</c:f>
              <c:strCache>
                <c:ptCount val="13"/>
                <c:pt idx="0">
                  <c:v>1,75 (-30%)</c:v>
                </c:pt>
                <c:pt idx="1">
                  <c:v>1,875 (-25%)</c:v>
                </c:pt>
                <c:pt idx="2">
                  <c:v>2 (-20%)</c:v>
                </c:pt>
                <c:pt idx="3">
                  <c:v>2,125 (-15%)</c:v>
                </c:pt>
                <c:pt idx="4">
                  <c:v>2,25 (-10%)</c:v>
                </c:pt>
                <c:pt idx="5">
                  <c:v>2,375 (-5%)</c:v>
                </c:pt>
                <c:pt idx="6">
                  <c:v>2,50</c:v>
                </c:pt>
                <c:pt idx="7">
                  <c:v>2,625 (+5%)</c:v>
                </c:pt>
                <c:pt idx="8">
                  <c:v>2,75 (+10%)</c:v>
                </c:pt>
                <c:pt idx="9">
                  <c:v>2,875 (+15%)</c:v>
                </c:pt>
                <c:pt idx="10">
                  <c:v>3 (+20%)</c:v>
                </c:pt>
                <c:pt idx="11">
                  <c:v>3,125 (+25%)</c:v>
                </c:pt>
                <c:pt idx="12">
                  <c:v>3,25 (+30%)</c:v>
                </c:pt>
              </c:strCache>
            </c:strRef>
          </c:cat>
          <c:val>
            <c:numRef>
              <c:f>'Projections Recette 1'!$J$215:$J$227</c:f>
              <c:numCache>
                <c:formatCode>General</c:formatCode>
                <c:ptCount val="13"/>
                <c:pt idx="0">
                  <c:v>-25399.5217078652</c:v>
                </c:pt>
                <c:pt idx="1">
                  <c:v>-21166.2680898876</c:v>
                </c:pt>
                <c:pt idx="2">
                  <c:v>-16933.0144719101</c:v>
                </c:pt>
                <c:pt idx="3">
                  <c:v>-12699.7608539326</c:v>
                </c:pt>
                <c:pt idx="4">
                  <c:v>-8466.50723595505</c:v>
                </c:pt>
                <c:pt idx="5">
                  <c:v>-4233.25361797753</c:v>
                </c:pt>
                <c:pt idx="6">
                  <c:v>0</c:v>
                </c:pt>
                <c:pt idx="7">
                  <c:v>4233.25361797753</c:v>
                </c:pt>
                <c:pt idx="8">
                  <c:v>8466.50723595507</c:v>
                </c:pt>
                <c:pt idx="9">
                  <c:v>12699.7608539326</c:v>
                </c:pt>
                <c:pt idx="10">
                  <c:v>16933.0144719101</c:v>
                </c:pt>
                <c:pt idx="11">
                  <c:v>21166.2680898876</c:v>
                </c:pt>
                <c:pt idx="12">
                  <c:v>25399.5217078652</c:v>
                </c:pt>
              </c:numCache>
            </c:numRef>
          </c:val>
        </c:ser>
        <c:ser>
          <c:idx val="3"/>
          <c:order val="3"/>
          <c:tx>
            <c:strRef>
              <c:f>'Projections Recette 1'!$L$213</c:f>
              <c:strCache>
                <c:ptCount val="1"/>
                <c:pt idx="0">
                  <c:v>4 Brassage / Semaine</c:v>
                </c:pt>
              </c:strCache>
            </c:strRef>
          </c:tx>
          <c:spPr>
            <a:solidFill>
              <a:srgbClr val="9e480e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'Projections Recette 1'!$D$215:$D$227</c:f>
              <c:strCache>
                <c:ptCount val="13"/>
                <c:pt idx="0">
                  <c:v>1,75 (-30%)</c:v>
                </c:pt>
                <c:pt idx="1">
                  <c:v>1,875 (-25%)</c:v>
                </c:pt>
                <c:pt idx="2">
                  <c:v>2 (-20%)</c:v>
                </c:pt>
                <c:pt idx="3">
                  <c:v>2,125 (-15%)</c:v>
                </c:pt>
                <c:pt idx="4">
                  <c:v>2,25 (-10%)</c:v>
                </c:pt>
                <c:pt idx="5">
                  <c:v>2,375 (-5%)</c:v>
                </c:pt>
                <c:pt idx="6">
                  <c:v>2,50</c:v>
                </c:pt>
                <c:pt idx="7">
                  <c:v>2,625 (+5%)</c:v>
                </c:pt>
                <c:pt idx="8">
                  <c:v>2,75 (+10%)</c:v>
                </c:pt>
                <c:pt idx="9">
                  <c:v>2,875 (+15%)</c:v>
                </c:pt>
                <c:pt idx="10">
                  <c:v>3 (+20%)</c:v>
                </c:pt>
                <c:pt idx="11">
                  <c:v>3,125 (+25%)</c:v>
                </c:pt>
                <c:pt idx="12">
                  <c:v>3,25 (+30%)</c:v>
                </c:pt>
              </c:strCache>
            </c:strRef>
          </c:cat>
          <c:val>
            <c:numRef>
              <c:f>'Projections Recette 1'!$L$215:$L$227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50"/>
        <c:shape val="box"/>
        <c:axId val="19928506"/>
        <c:axId val="55705360"/>
        <c:axId val="0"/>
      </c:bar3DChart>
      <c:catAx>
        <c:axId val="1992850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400" spc="-1" strike="noStrike">
                <a:solidFill>
                  <a:srgbClr val="ffffff"/>
                </a:solidFill>
                <a:latin typeface="Calibri"/>
              </a:defRPr>
            </a:pPr>
          </a:p>
        </c:txPr>
        <c:crossAx val="55705360"/>
        <c:crosses val="autoZero"/>
        <c:auto val="1"/>
        <c:lblAlgn val="ctr"/>
        <c:lblOffset val="100"/>
        <c:noMultiLvlLbl val="0"/>
      </c:catAx>
      <c:valAx>
        <c:axId val="5570536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1" sz="105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9928506"/>
        <c:crosses val="autoZero"/>
        <c:crossBetween val="between"/>
      </c:valAx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6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0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Titre du diagramme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1 Brass / Semaine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3"/>
                <c:pt idx="0">
                  <c:v>C.A Annuel</c:v>
                </c:pt>
                <c:pt idx="1">
                  <c:v>Dépenses (brassins)</c:v>
                </c:pt>
                <c:pt idx="2">
                  <c:v>Bénéfice commercial annuel NET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3"/>
                <c:pt idx="0">
                  <c:v>14960</c:v>
                </c:pt>
                <c:pt idx="1">
                  <c:v>9713.31730337079</c:v>
                </c:pt>
                <c:pt idx="2">
                  <c:v>2143.48269662921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2 Brass / Semaine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3"/>
                <c:pt idx="0">
                  <c:v>C.A Annuel</c:v>
                </c:pt>
                <c:pt idx="1">
                  <c:v>Dépenses (brassins)</c:v>
                </c:pt>
                <c:pt idx="2">
                  <c:v>Bénéfice commercial annuel NET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3"/>
                <c:pt idx="0">
                  <c:v>29920</c:v>
                </c:pt>
                <c:pt idx="1">
                  <c:v>19426.6346067416</c:v>
                </c:pt>
                <c:pt idx="2">
                  <c:v>7390.16539325842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3 Brass / semaine</c:v>
                </c:pt>
              </c:strCache>
            </c:strRef>
          </c:tx>
          <c:spPr>
            <a:solidFill>
              <a:srgbClr val="a5a5a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3"/>
                <c:pt idx="0">
                  <c:v>C.A Annuel</c:v>
                </c:pt>
                <c:pt idx="1">
                  <c:v>Dépenses (brassins)</c:v>
                </c:pt>
                <c:pt idx="2">
                  <c:v>Bénéfice commercial annuel NET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3"/>
                <c:pt idx="0">
                  <c:v>44880</c:v>
                </c:pt>
                <c:pt idx="1">
                  <c:v>29139.9519101124</c:v>
                </c:pt>
                <c:pt idx="2">
                  <c:v>12636.8480898876</c:v>
                </c:pt>
              </c:numCache>
            </c:numRef>
          </c:val>
        </c:ser>
        <c:gapWidth val="219"/>
        <c:overlap val="-27"/>
        <c:axId val="54717325"/>
        <c:axId val="40728363"/>
      </c:barChart>
      <c:catAx>
        <c:axId val="5471732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0728363"/>
        <c:crosses val="autoZero"/>
        <c:auto val="1"/>
        <c:lblAlgn val="ctr"/>
        <c:lblOffset val="100"/>
        <c:noMultiLvlLbl val="0"/>
      </c:catAx>
      <c:valAx>
        <c:axId val="4072836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4717325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198000</xdr:colOff>
      <xdr:row>149</xdr:row>
      <xdr:rowOff>175320</xdr:rowOff>
    </xdr:from>
    <xdr:to>
      <xdr:col>7</xdr:col>
      <xdr:colOff>1240200</xdr:colOff>
      <xdr:row>172</xdr:row>
      <xdr:rowOff>51480</xdr:rowOff>
    </xdr:to>
    <xdr:graphicFrame>
      <xdr:nvGraphicFramePr>
        <xdr:cNvPr id="0" name="Chart 1"/>
        <xdr:cNvGraphicFramePr/>
      </xdr:nvGraphicFramePr>
      <xdr:xfrm>
        <a:off x="1546920" y="36183600"/>
        <a:ext cx="9971280" cy="4082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30600</xdr:colOff>
      <xdr:row>185</xdr:row>
      <xdr:rowOff>160200</xdr:rowOff>
    </xdr:from>
    <xdr:to>
      <xdr:col>8</xdr:col>
      <xdr:colOff>729720</xdr:colOff>
      <xdr:row>219</xdr:row>
      <xdr:rowOff>21240</xdr:rowOff>
    </xdr:to>
    <xdr:graphicFrame>
      <xdr:nvGraphicFramePr>
        <xdr:cNvPr id="1" name="Chart 5"/>
        <xdr:cNvGraphicFramePr/>
      </xdr:nvGraphicFramePr>
      <xdr:xfrm>
        <a:off x="1379520" y="42752160"/>
        <a:ext cx="11156760" cy="6078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78</xdr:row>
      <xdr:rowOff>0</xdr:rowOff>
    </xdr:from>
    <xdr:to>
      <xdr:col>7</xdr:col>
      <xdr:colOff>988920</xdr:colOff>
      <xdr:row>105</xdr:row>
      <xdr:rowOff>181080</xdr:rowOff>
    </xdr:to>
    <xdr:graphicFrame>
      <xdr:nvGraphicFramePr>
        <xdr:cNvPr id="2" name="Chart 7"/>
        <xdr:cNvGraphicFramePr/>
      </xdr:nvGraphicFramePr>
      <xdr:xfrm>
        <a:off x="1348920" y="23023800"/>
        <a:ext cx="9918000" cy="5118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5" ySplit="6" topLeftCell="F7" activePane="bottomRight" state="frozen"/>
      <selection pane="topLeft" activeCell="A1" activeCellId="0" sqref="A1"/>
      <selection pane="topRight" activeCell="F1" activeCellId="0" sqref="F1"/>
      <selection pane="bottomLeft" activeCell="A7" activeCellId="0" sqref="A7"/>
      <selection pane="bottomRight" activeCell="C65" activeCellId="0" sqref="C65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22.55"/>
    <col collapsed="false" customWidth="true" hidden="false" outlineLevel="0" max="2" min="2" style="1" width="51.78"/>
    <col collapsed="false" customWidth="true" hidden="false" outlineLevel="0" max="5" min="3" style="0" width="18.33"/>
    <col collapsed="false" customWidth="true" hidden="false" outlineLevel="0" max="6" min="6" style="2" width="97.78"/>
  </cols>
  <sheetData>
    <row r="1" customFormat="false" ht="42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</row>
    <row r="3" customFormat="false" ht="14.4" hidden="false" customHeight="true" outlineLevel="0" collapsed="false">
      <c r="A3" s="4"/>
      <c r="B3" s="4"/>
      <c r="C3" s="4"/>
      <c r="D3" s="4"/>
      <c r="E3" s="4"/>
      <c r="F3" s="4"/>
      <c r="G3" s="5"/>
    </row>
    <row r="4" customFormat="false" ht="24.6" hidden="false" customHeight="true" outlineLevel="0" collapsed="false">
      <c r="B4" s="6" t="s">
        <v>2</v>
      </c>
      <c r="C4" s="7" t="s">
        <v>3</v>
      </c>
      <c r="D4" s="7"/>
      <c r="E4" s="7"/>
      <c r="F4" s="8" t="s">
        <v>4</v>
      </c>
      <c r="G4" s="5"/>
    </row>
    <row r="5" customFormat="false" ht="24.6" hidden="false" customHeight="true" outlineLevel="0" collapsed="false">
      <c r="B5" s="6"/>
      <c r="C5" s="9" t="s">
        <v>5</v>
      </c>
      <c r="D5" s="10" t="s">
        <v>6</v>
      </c>
      <c r="E5" s="11" t="s">
        <v>7</v>
      </c>
      <c r="F5" s="8"/>
      <c r="G5" s="5"/>
    </row>
    <row r="6" customFormat="false" ht="24.6" hidden="false" customHeight="true" outlineLevel="0" collapsed="false">
      <c r="B6" s="12" t="s">
        <v>8</v>
      </c>
      <c r="C6" s="13" t="s">
        <v>9</v>
      </c>
      <c r="D6" s="14" t="s">
        <v>10</v>
      </c>
      <c r="E6" s="13" t="s">
        <v>11</v>
      </c>
      <c r="F6" s="15"/>
      <c r="G6" s="5"/>
    </row>
    <row r="7" customFormat="false" ht="22.95" hidden="false" customHeight="true" outlineLevel="0" collapsed="false">
      <c r="A7" s="16" t="s">
        <v>12</v>
      </c>
      <c r="B7" s="17" t="s">
        <v>13</v>
      </c>
      <c r="C7" s="18" t="n">
        <v>200</v>
      </c>
      <c r="D7" s="19" t="n">
        <v>400</v>
      </c>
      <c r="E7" s="20" t="n">
        <v>100</v>
      </c>
      <c r="F7" s="21"/>
      <c r="G7" s="22"/>
    </row>
    <row r="8" customFormat="false" ht="22.95" hidden="false" customHeight="true" outlineLevel="0" collapsed="false">
      <c r="A8" s="16"/>
      <c r="B8" s="23" t="s">
        <v>14</v>
      </c>
      <c r="C8" s="24" t="n">
        <v>70</v>
      </c>
      <c r="D8" s="25" t="n">
        <v>80</v>
      </c>
      <c r="E8" s="26" t="n">
        <v>80</v>
      </c>
      <c r="F8" s="27" t="s">
        <v>15</v>
      </c>
      <c r="G8" s="22"/>
    </row>
    <row r="9" customFormat="false" ht="22.95" hidden="false" customHeight="true" outlineLevel="0" collapsed="false">
      <c r="A9" s="16"/>
      <c r="B9" s="23" t="s">
        <v>16</v>
      </c>
      <c r="C9" s="28" t="n">
        <v>10</v>
      </c>
      <c r="D9" s="29" t="n">
        <v>10</v>
      </c>
      <c r="E9" s="30" t="n">
        <v>10</v>
      </c>
      <c r="F9" s="27" t="s">
        <v>17</v>
      </c>
      <c r="G9" s="22"/>
    </row>
    <row r="10" customFormat="false" ht="22.95" hidden="false" customHeight="true" outlineLevel="0" collapsed="false">
      <c r="A10" s="16"/>
      <c r="B10" s="23" t="s">
        <v>18</v>
      </c>
      <c r="C10" s="31" t="n">
        <f aca="false">(C7*(C8)%)*((100-C9)/100)</f>
        <v>126</v>
      </c>
      <c r="D10" s="32" t="n">
        <f aca="false">(D7*(D8)%)*((100-D9)/100)</f>
        <v>288</v>
      </c>
      <c r="E10" s="33" t="n">
        <f aca="false">(E7*(E8)%)*((100-E9)/100)</f>
        <v>72</v>
      </c>
      <c r="F10" s="27" t="s">
        <v>19</v>
      </c>
    </row>
    <row r="11" customFormat="false" ht="22.95" hidden="true" customHeight="true" outlineLevel="0" collapsed="false">
      <c r="A11" s="16"/>
      <c r="B11" s="23" t="s">
        <v>20</v>
      </c>
      <c r="C11" s="34" t="n">
        <f aca="true">TODAY()</f>
        <v>44766</v>
      </c>
      <c r="D11" s="35"/>
      <c r="E11" s="36"/>
      <c r="F11" s="27" t="s">
        <v>21</v>
      </c>
    </row>
    <row r="12" customFormat="false" ht="22.95" hidden="false" customHeight="true" outlineLevel="0" collapsed="false">
      <c r="A12" s="16"/>
      <c r="B12" s="23" t="s">
        <v>22</v>
      </c>
      <c r="C12" s="37" t="n">
        <v>6</v>
      </c>
      <c r="D12" s="38" t="n">
        <v>8</v>
      </c>
      <c r="E12" s="39" t="n">
        <v>9</v>
      </c>
      <c r="F12" s="27" t="s">
        <v>23</v>
      </c>
      <c r="G12" s="22"/>
    </row>
    <row r="13" customFormat="false" ht="22.95" hidden="false" customHeight="true" outlineLevel="0" collapsed="false">
      <c r="A13" s="16"/>
      <c r="B13" s="23" t="s">
        <v>24</v>
      </c>
      <c r="C13" s="40" t="n">
        <v>10</v>
      </c>
      <c r="D13" s="41" t="n">
        <v>35</v>
      </c>
      <c r="E13" s="42" t="n">
        <v>10</v>
      </c>
      <c r="F13" s="27" t="s">
        <v>25</v>
      </c>
    </row>
    <row r="14" s="48" customFormat="true" ht="22.95" hidden="false" customHeight="true" outlineLevel="0" collapsed="false">
      <c r="A14" s="16"/>
      <c r="B14" s="43" t="s">
        <v>26</v>
      </c>
      <c r="C14" s="44" t="n">
        <v>40</v>
      </c>
      <c r="D14" s="45" t="n">
        <v>40</v>
      </c>
      <c r="E14" s="46" t="n">
        <v>40</v>
      </c>
      <c r="F14" s="47" t="s">
        <v>27</v>
      </c>
    </row>
    <row r="15" customFormat="false" ht="22.95" hidden="false" customHeight="true" outlineLevel="0" collapsed="false">
      <c r="A15" s="49" t="s">
        <v>28</v>
      </c>
      <c r="B15" s="50" t="s">
        <v>29</v>
      </c>
      <c r="C15" s="19" t="n">
        <v>0.79</v>
      </c>
      <c r="D15" s="19" t="n">
        <v>1</v>
      </c>
      <c r="E15" s="20" t="n">
        <v>1</v>
      </c>
      <c r="F15" s="51" t="s">
        <v>30</v>
      </c>
      <c r="G15" s="22"/>
    </row>
    <row r="16" customFormat="false" ht="22.95" hidden="false" customHeight="true" outlineLevel="0" collapsed="false">
      <c r="A16" s="49"/>
      <c r="B16" s="52" t="s">
        <v>31</v>
      </c>
      <c r="C16" s="25" t="n">
        <v>32</v>
      </c>
      <c r="D16" s="25" t="n">
        <v>120</v>
      </c>
      <c r="E16" s="26" t="n">
        <v>40</v>
      </c>
      <c r="F16" s="27"/>
      <c r="G16" s="22"/>
    </row>
    <row r="17" customFormat="false" ht="22.95" hidden="false" customHeight="true" outlineLevel="0" collapsed="false">
      <c r="A17" s="49"/>
      <c r="B17" s="52" t="s">
        <v>32</v>
      </c>
      <c r="C17" s="25" t="n">
        <v>0</v>
      </c>
      <c r="D17" s="25" t="n">
        <v>5</v>
      </c>
      <c r="E17" s="26" t="n">
        <v>5</v>
      </c>
      <c r="F17" s="53" t="s">
        <v>33</v>
      </c>
      <c r="G17" s="22"/>
    </row>
    <row r="18" customFormat="false" ht="22.95" hidden="false" customHeight="true" outlineLevel="0" collapsed="false">
      <c r="A18" s="49"/>
      <c r="B18" s="54" t="s">
        <v>34</v>
      </c>
      <c r="C18" s="45" t="n">
        <v>0</v>
      </c>
      <c r="D18" s="45" t="n">
        <v>10</v>
      </c>
      <c r="E18" s="46" t="n">
        <v>10</v>
      </c>
      <c r="F18" s="53"/>
      <c r="G18" s="22"/>
    </row>
    <row r="19" customFormat="false" ht="22.95" hidden="false" customHeight="true" outlineLevel="0" collapsed="false">
      <c r="A19" s="55" t="s">
        <v>35</v>
      </c>
      <c r="B19" s="56" t="s">
        <v>29</v>
      </c>
      <c r="C19" s="57" t="n">
        <v>0.8</v>
      </c>
      <c r="D19" s="57" t="n">
        <v>1.5</v>
      </c>
      <c r="E19" s="58" t="n">
        <v>1.5</v>
      </c>
      <c r="F19" s="51" t="s">
        <v>30</v>
      </c>
      <c r="G19" s="22"/>
    </row>
    <row r="20" customFormat="false" ht="22.95" hidden="false" customHeight="true" outlineLevel="0" collapsed="false">
      <c r="A20" s="55"/>
      <c r="B20" s="59" t="s">
        <v>31</v>
      </c>
      <c r="C20" s="60" t="n">
        <v>3</v>
      </c>
      <c r="D20" s="60" t="n">
        <v>15</v>
      </c>
      <c r="E20" s="61" t="n">
        <v>5</v>
      </c>
      <c r="F20" s="62"/>
      <c r="G20" s="22"/>
    </row>
    <row r="21" customFormat="false" ht="22.95" hidden="false" customHeight="true" outlineLevel="0" collapsed="false">
      <c r="A21" s="63" t="s">
        <v>36</v>
      </c>
      <c r="B21" s="64" t="s">
        <v>37</v>
      </c>
      <c r="C21" s="41" t="n">
        <v>36</v>
      </c>
      <c r="D21" s="41" t="n">
        <v>40</v>
      </c>
      <c r="E21" s="42" t="n">
        <v>42</v>
      </c>
      <c r="F21" s="51" t="s">
        <v>30</v>
      </c>
      <c r="G21" s="22"/>
    </row>
    <row r="22" customFormat="false" ht="22.95" hidden="false" customHeight="true" outlineLevel="0" collapsed="false">
      <c r="A22" s="63"/>
      <c r="B22" s="65" t="s">
        <v>38</v>
      </c>
      <c r="C22" s="25" t="n">
        <v>0</v>
      </c>
      <c r="D22" s="25" t="n">
        <v>5</v>
      </c>
      <c r="E22" s="26" t="n">
        <v>5</v>
      </c>
      <c r="F22" s="66" t="s">
        <v>33</v>
      </c>
      <c r="G22" s="22"/>
    </row>
    <row r="23" customFormat="false" ht="22.95" hidden="false" customHeight="true" outlineLevel="0" collapsed="false">
      <c r="A23" s="63"/>
      <c r="B23" s="65" t="s">
        <v>39</v>
      </c>
      <c r="C23" s="25" t="n">
        <v>0</v>
      </c>
      <c r="D23" s="25" t="n">
        <v>10</v>
      </c>
      <c r="E23" s="26" t="n">
        <v>10</v>
      </c>
      <c r="F23" s="66"/>
      <c r="G23" s="22"/>
    </row>
    <row r="24" customFormat="false" ht="22.95" hidden="false" customHeight="true" outlineLevel="0" collapsed="false">
      <c r="A24" s="63"/>
      <c r="B24" s="67" t="s">
        <v>40</v>
      </c>
      <c r="C24" s="38" t="n">
        <v>0.12</v>
      </c>
      <c r="D24" s="38" t="n">
        <v>2.5</v>
      </c>
      <c r="E24" s="39" t="n">
        <v>1</v>
      </c>
      <c r="F24" s="68"/>
      <c r="G24" s="22"/>
    </row>
    <row r="25" customFormat="false" ht="22.95" hidden="false" customHeight="true" outlineLevel="0" collapsed="false">
      <c r="A25" s="49" t="s">
        <v>41</v>
      </c>
      <c r="B25" s="69" t="s">
        <v>42</v>
      </c>
      <c r="C25" s="70" t="n">
        <v>50</v>
      </c>
      <c r="D25" s="70" t="n">
        <v>30</v>
      </c>
      <c r="E25" s="71" t="n">
        <v>15</v>
      </c>
      <c r="F25" s="51" t="s">
        <v>30</v>
      </c>
      <c r="G25" s="22"/>
    </row>
    <row r="26" customFormat="false" ht="22.95" hidden="false" customHeight="true" outlineLevel="0" collapsed="false">
      <c r="A26" s="49"/>
      <c r="B26" s="72" t="s">
        <v>43</v>
      </c>
      <c r="C26" s="73" t="n">
        <v>0.4</v>
      </c>
      <c r="D26" s="73" t="n">
        <v>1</v>
      </c>
      <c r="E26" s="74" t="n">
        <v>0.3</v>
      </c>
      <c r="F26" s="75"/>
      <c r="G26" s="22"/>
    </row>
    <row r="27" customFormat="false" ht="22.95" hidden="false" customHeight="true" outlineLevel="0" collapsed="false">
      <c r="A27" s="76"/>
      <c r="B27" s="77" t="s">
        <v>44</v>
      </c>
      <c r="C27" s="78" t="s">
        <v>45</v>
      </c>
      <c r="D27" s="78" t="s">
        <v>46</v>
      </c>
      <c r="E27" s="78" t="s">
        <v>47</v>
      </c>
      <c r="F27" s="79"/>
      <c r="G27" s="22"/>
    </row>
    <row r="28" customFormat="false" ht="22.95" hidden="false" customHeight="true" outlineLevel="0" collapsed="false">
      <c r="A28" s="49" t="s">
        <v>48</v>
      </c>
      <c r="B28" s="80" t="s">
        <v>49</v>
      </c>
      <c r="C28" s="78" t="n">
        <v>3</v>
      </c>
      <c r="D28" s="78" t="n">
        <v>25</v>
      </c>
      <c r="E28" s="78" t="n">
        <v>30</v>
      </c>
      <c r="F28" s="81"/>
      <c r="G28" s="22"/>
    </row>
    <row r="29" customFormat="false" ht="22.95" hidden="false" customHeight="true" outlineLevel="0" collapsed="false">
      <c r="A29" s="49"/>
      <c r="B29" s="82" t="s">
        <v>50</v>
      </c>
      <c r="C29" s="83" t="n">
        <v>0</v>
      </c>
      <c r="D29" s="83" t="n">
        <v>1</v>
      </c>
      <c r="E29" s="83" t="n">
        <v>0.3</v>
      </c>
      <c r="F29" s="79"/>
      <c r="G29" s="22"/>
    </row>
    <row r="30" customFormat="false" ht="22.95" hidden="false" customHeight="true" outlineLevel="0" collapsed="false">
      <c r="A30" s="49"/>
      <c r="F30" s="79"/>
      <c r="G30" s="22"/>
    </row>
    <row r="31" customFormat="false" ht="22.95" hidden="false" customHeight="true" outlineLevel="0" collapsed="false">
      <c r="A31" s="49"/>
      <c r="B31" s="84" t="s">
        <v>51</v>
      </c>
      <c r="C31" s="85" t="n">
        <v>7</v>
      </c>
      <c r="D31" s="85" t="n">
        <v>3</v>
      </c>
      <c r="E31" s="85" t="n">
        <v>40</v>
      </c>
      <c r="F31" s="79"/>
      <c r="G31" s="22"/>
    </row>
    <row r="32" customFormat="false" ht="22.95" hidden="false" customHeight="true" outlineLevel="0" collapsed="false">
      <c r="A32" s="49"/>
      <c r="B32" s="86" t="s">
        <v>44</v>
      </c>
      <c r="C32" s="83" t="s">
        <v>52</v>
      </c>
      <c r="D32" s="83" t="s">
        <v>53</v>
      </c>
      <c r="E32" s="83" t="s">
        <v>54</v>
      </c>
      <c r="F32" s="79"/>
      <c r="G32" s="22"/>
    </row>
    <row r="33" customFormat="false" ht="22.95" hidden="false" customHeight="true" outlineLevel="0" collapsed="false">
      <c r="A33" s="49"/>
      <c r="B33" s="84" t="s">
        <v>55</v>
      </c>
      <c r="C33" s="85" t="n">
        <v>0</v>
      </c>
      <c r="D33" s="85" t="n">
        <v>2</v>
      </c>
      <c r="E33" s="85" t="n">
        <v>0.1</v>
      </c>
      <c r="F33" s="79"/>
      <c r="G33" s="22"/>
    </row>
    <row r="34" customFormat="false" ht="22.95" hidden="false" customHeight="true" outlineLevel="0" collapsed="false">
      <c r="A34" s="49"/>
      <c r="B34" s="82" t="s">
        <v>56</v>
      </c>
      <c r="C34" s="85" t="n">
        <v>4</v>
      </c>
      <c r="D34" s="85" t="n">
        <v>4</v>
      </c>
      <c r="E34" s="85" t="n">
        <v>30</v>
      </c>
      <c r="F34" s="79"/>
      <c r="G34" s="22"/>
    </row>
    <row r="35" customFormat="false" ht="22.95" hidden="false" customHeight="true" outlineLevel="0" collapsed="false">
      <c r="A35" s="49"/>
      <c r="B35" s="77" t="s">
        <v>44</v>
      </c>
      <c r="C35" s="83" t="s">
        <v>57</v>
      </c>
      <c r="D35" s="83" t="s">
        <v>58</v>
      </c>
      <c r="E35" s="83" t="s">
        <v>46</v>
      </c>
      <c r="F35" s="79"/>
      <c r="G35" s="22"/>
    </row>
    <row r="36" customFormat="false" ht="22.95" hidden="false" customHeight="true" outlineLevel="0" collapsed="false">
      <c r="A36" s="49"/>
      <c r="B36" s="87" t="s">
        <v>55</v>
      </c>
      <c r="C36" s="74" t="n">
        <v>0</v>
      </c>
      <c r="D36" s="74" t="n">
        <v>1</v>
      </c>
      <c r="E36" s="74" t="n">
        <v>0.4</v>
      </c>
      <c r="F36" s="75"/>
      <c r="G36" s="22"/>
    </row>
    <row r="37" customFormat="false" ht="22.95" hidden="false" customHeight="true" outlineLevel="0" collapsed="false">
      <c r="A37" s="88" t="s">
        <v>59</v>
      </c>
      <c r="B37" s="89" t="s">
        <v>60</v>
      </c>
      <c r="C37" s="19" t="n">
        <v>3</v>
      </c>
      <c r="D37" s="19" t="n">
        <v>3.11</v>
      </c>
      <c r="E37" s="20" t="n">
        <v>3.11</v>
      </c>
      <c r="F37" s="90"/>
      <c r="G37" s="22"/>
    </row>
    <row r="38" customFormat="false" ht="22.95" hidden="false" customHeight="true" outlineLevel="0" collapsed="false">
      <c r="A38" s="88"/>
      <c r="B38" s="91" t="s">
        <v>61</v>
      </c>
      <c r="C38" s="25" t="n">
        <v>1</v>
      </c>
      <c r="D38" s="25" t="n">
        <v>1</v>
      </c>
      <c r="E38" s="26" t="n">
        <v>1</v>
      </c>
      <c r="F38" s="92" t="s">
        <v>30</v>
      </c>
      <c r="G38" s="22"/>
    </row>
    <row r="39" customFormat="false" ht="22.95" hidden="false" customHeight="true" outlineLevel="0" collapsed="false">
      <c r="A39" s="88"/>
      <c r="B39" s="91" t="s">
        <v>62</v>
      </c>
      <c r="C39" s="25" t="n">
        <v>1</v>
      </c>
      <c r="D39" s="25" t="n">
        <v>4</v>
      </c>
      <c r="E39" s="26" t="n">
        <v>1</v>
      </c>
      <c r="F39" s="92"/>
      <c r="G39" s="22"/>
    </row>
    <row r="40" customFormat="false" ht="22.95" hidden="false" customHeight="true" outlineLevel="0" collapsed="false">
      <c r="A40" s="88"/>
      <c r="B40" s="91" t="s">
        <v>63</v>
      </c>
      <c r="C40" s="25" t="n">
        <v>120</v>
      </c>
      <c r="D40" s="25" t="n">
        <v>100</v>
      </c>
      <c r="E40" s="26" t="n">
        <v>100</v>
      </c>
      <c r="F40" s="92" t="s">
        <v>30</v>
      </c>
      <c r="G40" s="22"/>
    </row>
    <row r="41" customFormat="false" ht="22.95" hidden="false" customHeight="true" outlineLevel="0" collapsed="false">
      <c r="A41" s="88"/>
      <c r="B41" s="93" t="s">
        <v>64</v>
      </c>
      <c r="C41" s="38" t="n">
        <v>0.07</v>
      </c>
      <c r="D41" s="38" t="n">
        <v>0.25</v>
      </c>
      <c r="E41" s="39" t="n">
        <v>0.1</v>
      </c>
      <c r="F41" s="94"/>
      <c r="G41" s="22"/>
    </row>
    <row r="42" customFormat="false" ht="26.4" hidden="false" customHeight="true" outlineLevel="0" collapsed="false">
      <c r="A42" s="95" t="s">
        <v>65</v>
      </c>
      <c r="B42" s="80" t="s">
        <v>66</v>
      </c>
      <c r="C42" s="96" t="n">
        <v>0.33</v>
      </c>
      <c r="D42" s="96" t="n">
        <v>0.33</v>
      </c>
      <c r="E42" s="42" t="n">
        <v>0.33</v>
      </c>
      <c r="F42" s="90" t="s">
        <v>67</v>
      </c>
      <c r="G42" s="22"/>
    </row>
    <row r="43" customFormat="false" ht="22.95" hidden="false" customHeight="true" outlineLevel="0" collapsed="false">
      <c r="A43" s="95"/>
      <c r="B43" s="82" t="s">
        <v>68</v>
      </c>
      <c r="C43" s="97" t="n">
        <v>50</v>
      </c>
      <c r="D43" s="97" t="n">
        <v>60</v>
      </c>
      <c r="E43" s="26" t="n">
        <v>80</v>
      </c>
      <c r="F43" s="27" t="s">
        <v>69</v>
      </c>
      <c r="G43" s="22"/>
    </row>
    <row r="44" customFormat="false" ht="22.95" hidden="false" customHeight="true" outlineLevel="0" collapsed="false">
      <c r="A44" s="95"/>
      <c r="B44" s="82" t="s">
        <v>70</v>
      </c>
      <c r="C44" s="97" t="n">
        <v>0.2</v>
      </c>
      <c r="D44" s="97" t="n">
        <v>0.2</v>
      </c>
      <c r="E44" s="26" t="n">
        <v>0.2</v>
      </c>
      <c r="F44" s="92" t="s">
        <v>71</v>
      </c>
      <c r="G44" s="22"/>
    </row>
    <row r="45" customFormat="false" ht="22.95" hidden="false" customHeight="true" outlineLevel="0" collapsed="false">
      <c r="A45" s="95"/>
      <c r="B45" s="82" t="s">
        <v>72</v>
      </c>
      <c r="C45" s="97" t="n">
        <v>0.08</v>
      </c>
      <c r="D45" s="97" t="n">
        <v>0.04</v>
      </c>
      <c r="E45" s="26" t="n">
        <v>0.04</v>
      </c>
      <c r="F45" s="92"/>
      <c r="G45" s="22"/>
    </row>
    <row r="46" customFormat="false" ht="22.95" hidden="false" customHeight="true" outlineLevel="0" collapsed="false">
      <c r="A46" s="95"/>
      <c r="B46" s="82" t="s">
        <v>73</v>
      </c>
      <c r="C46" s="97" t="n">
        <v>0.013</v>
      </c>
      <c r="D46" s="97" t="n">
        <v>0.04</v>
      </c>
      <c r="E46" s="26" t="n">
        <v>0.04</v>
      </c>
      <c r="F46" s="92"/>
      <c r="G46" s="22"/>
    </row>
    <row r="47" customFormat="false" ht="22.95" hidden="false" customHeight="true" outlineLevel="0" collapsed="false">
      <c r="A47" s="95"/>
      <c r="B47" s="82" t="s">
        <v>74</v>
      </c>
      <c r="C47" s="97" t="n">
        <v>2.5</v>
      </c>
      <c r="D47" s="97" t="n">
        <v>1.6</v>
      </c>
      <c r="E47" s="26" t="n">
        <v>1.8</v>
      </c>
      <c r="F47" s="27" t="s">
        <v>75</v>
      </c>
      <c r="G47" s="22"/>
    </row>
    <row r="48" customFormat="false" ht="22.95" hidden="false" customHeight="true" outlineLevel="0" collapsed="false">
      <c r="A48" s="95"/>
      <c r="B48" s="82" t="s">
        <v>76</v>
      </c>
      <c r="C48" s="97" t="n">
        <v>50</v>
      </c>
      <c r="D48" s="97" t="n">
        <v>0</v>
      </c>
      <c r="E48" s="26" t="n">
        <v>0</v>
      </c>
      <c r="F48" s="66" t="s">
        <v>77</v>
      </c>
      <c r="G48" s="22"/>
    </row>
    <row r="49" customFormat="false" ht="22.95" hidden="false" customHeight="true" outlineLevel="0" collapsed="false">
      <c r="A49" s="95"/>
      <c r="B49" s="82" t="s">
        <v>78</v>
      </c>
      <c r="C49" s="97" t="n">
        <v>0</v>
      </c>
      <c r="D49" s="97" t="n">
        <v>0.1</v>
      </c>
      <c r="E49" s="26" t="n">
        <v>0.1</v>
      </c>
      <c r="F49" s="98" t="s">
        <v>79</v>
      </c>
      <c r="G49" s="22"/>
    </row>
    <row r="50" customFormat="false" ht="22.95" hidden="false" customHeight="true" outlineLevel="0" collapsed="false">
      <c r="A50" s="95"/>
      <c r="B50" s="99" t="s">
        <v>80</v>
      </c>
      <c r="C50" s="100" t="n">
        <v>24</v>
      </c>
      <c r="D50" s="100" t="n">
        <v>24</v>
      </c>
      <c r="E50" s="101" t="n">
        <v>24</v>
      </c>
      <c r="F50" s="98"/>
      <c r="G50" s="22"/>
    </row>
    <row r="51" customFormat="false" ht="22.2" hidden="false" customHeight="true" outlineLevel="0" collapsed="false">
      <c r="A51" s="102" t="s">
        <v>81</v>
      </c>
      <c r="B51" s="103" t="s">
        <v>82</v>
      </c>
      <c r="C51" s="96" t="n">
        <v>0.75</v>
      </c>
      <c r="D51" s="96" t="n">
        <v>0.75</v>
      </c>
      <c r="E51" s="42" t="n">
        <v>0.75</v>
      </c>
      <c r="F51" s="90" t="s">
        <v>83</v>
      </c>
      <c r="G51" s="22"/>
    </row>
    <row r="52" customFormat="false" ht="22.95" hidden="false" customHeight="true" outlineLevel="0" collapsed="false">
      <c r="A52" s="102"/>
      <c r="B52" s="52" t="s">
        <v>84</v>
      </c>
      <c r="C52" s="104" t="n">
        <f aca="false">100-C43</f>
        <v>50</v>
      </c>
      <c r="D52" s="104" t="n">
        <f aca="false">100-D43</f>
        <v>40</v>
      </c>
      <c r="E52" s="105" t="n">
        <f aca="false">100-E43</f>
        <v>20</v>
      </c>
      <c r="F52" s="27" t="s">
        <v>85</v>
      </c>
      <c r="G52" s="22"/>
    </row>
    <row r="53" customFormat="false" ht="22.95" hidden="false" customHeight="true" outlineLevel="0" collapsed="false">
      <c r="A53" s="102"/>
      <c r="B53" s="52" t="s">
        <v>86</v>
      </c>
      <c r="C53" s="97" t="n">
        <v>0.4</v>
      </c>
      <c r="D53" s="97" t="n">
        <v>0.4</v>
      </c>
      <c r="E53" s="26" t="n">
        <v>0.4</v>
      </c>
      <c r="F53" s="92" t="s">
        <v>71</v>
      </c>
      <c r="G53" s="22"/>
    </row>
    <row r="54" customFormat="false" ht="22.95" hidden="false" customHeight="true" outlineLevel="0" collapsed="false">
      <c r="A54" s="102"/>
      <c r="B54" s="52" t="s">
        <v>72</v>
      </c>
      <c r="C54" s="97" t="n">
        <v>0.08</v>
      </c>
      <c r="D54" s="97" t="n">
        <v>0.06</v>
      </c>
      <c r="E54" s="26" t="n">
        <v>0.06</v>
      </c>
      <c r="F54" s="92"/>
      <c r="G54" s="22"/>
    </row>
    <row r="55" customFormat="false" ht="22.95" hidden="false" customHeight="true" outlineLevel="0" collapsed="false">
      <c r="A55" s="102"/>
      <c r="B55" s="52" t="s">
        <v>73</v>
      </c>
      <c r="C55" s="97" t="n">
        <v>0.03</v>
      </c>
      <c r="D55" s="97" t="n">
        <v>0.05</v>
      </c>
      <c r="E55" s="26" t="n">
        <v>0.05</v>
      </c>
      <c r="F55" s="92"/>
      <c r="G55" s="22"/>
    </row>
    <row r="56" customFormat="false" ht="22.95" hidden="false" customHeight="true" outlineLevel="0" collapsed="false">
      <c r="A56" s="102"/>
      <c r="B56" s="52" t="s">
        <v>74</v>
      </c>
      <c r="C56" s="97" t="n">
        <v>5</v>
      </c>
      <c r="D56" s="97" t="n">
        <v>2.8</v>
      </c>
      <c r="E56" s="26" t="n">
        <v>3.2</v>
      </c>
      <c r="F56" s="27" t="s">
        <v>75</v>
      </c>
      <c r="G56" s="22"/>
    </row>
    <row r="57" customFormat="false" ht="22.95" hidden="false" customHeight="true" outlineLevel="0" collapsed="false">
      <c r="A57" s="102"/>
      <c r="B57" s="106" t="s">
        <v>87</v>
      </c>
      <c r="C57" s="97" t="n">
        <v>50</v>
      </c>
      <c r="D57" s="97" t="n">
        <v>0</v>
      </c>
      <c r="E57" s="26" t="n">
        <v>0</v>
      </c>
      <c r="F57" s="66" t="s">
        <v>77</v>
      </c>
      <c r="G57" s="22"/>
    </row>
    <row r="58" customFormat="false" ht="22.95" hidden="false" customHeight="true" outlineLevel="0" collapsed="false">
      <c r="A58" s="102"/>
      <c r="B58" s="52" t="s">
        <v>88</v>
      </c>
      <c r="C58" s="97" t="n">
        <v>0</v>
      </c>
      <c r="D58" s="97" t="n">
        <v>0.12</v>
      </c>
      <c r="E58" s="26" t="n">
        <v>0.12</v>
      </c>
      <c r="F58" s="98" t="s">
        <v>79</v>
      </c>
      <c r="G58" s="22"/>
    </row>
    <row r="59" customFormat="false" ht="22.95" hidden="false" customHeight="true" outlineLevel="0" collapsed="false">
      <c r="A59" s="102"/>
      <c r="B59" s="54" t="s">
        <v>80</v>
      </c>
      <c r="C59" s="107" t="n">
        <v>6</v>
      </c>
      <c r="D59" s="107" t="n">
        <v>6</v>
      </c>
      <c r="E59" s="39" t="n">
        <v>6</v>
      </c>
      <c r="F59" s="98"/>
      <c r="G59" s="22"/>
    </row>
    <row r="60" customFormat="false" ht="22.95" hidden="false" customHeight="true" outlineLevel="0" collapsed="false">
      <c r="A60" s="108" t="s">
        <v>89</v>
      </c>
      <c r="B60" s="109" t="s">
        <v>90</v>
      </c>
      <c r="C60" s="110" t="n">
        <v>500</v>
      </c>
      <c r="D60" s="110" t="n">
        <v>500</v>
      </c>
      <c r="E60" s="111" t="n">
        <v>200</v>
      </c>
      <c r="F60" s="90"/>
      <c r="G60" s="22"/>
    </row>
    <row r="61" customFormat="false" ht="22.95" hidden="false" customHeight="true" outlineLevel="0" collapsed="false">
      <c r="A61" s="108"/>
      <c r="B61" s="59" t="s">
        <v>91</v>
      </c>
      <c r="C61" s="97" t="n">
        <v>38</v>
      </c>
      <c r="D61" s="97" t="n">
        <v>20</v>
      </c>
      <c r="E61" s="26" t="n">
        <v>20</v>
      </c>
      <c r="F61" s="27" t="s">
        <v>92</v>
      </c>
      <c r="G61" s="22"/>
    </row>
    <row r="62" customFormat="false" ht="22.95" hidden="false" customHeight="true" outlineLevel="0" collapsed="false">
      <c r="A62" s="108"/>
      <c r="B62" s="59" t="s">
        <v>93</v>
      </c>
      <c r="C62" s="97" t="n">
        <v>178</v>
      </c>
      <c r="D62" s="97" t="n">
        <v>178</v>
      </c>
      <c r="E62" s="26" t="n">
        <v>178</v>
      </c>
      <c r="F62" s="66" t="s">
        <v>94</v>
      </c>
      <c r="G62" s="22"/>
    </row>
    <row r="63" customFormat="false" ht="22.95" hidden="false" customHeight="true" outlineLevel="0" collapsed="false">
      <c r="A63" s="108"/>
      <c r="B63" s="59" t="s">
        <v>95</v>
      </c>
      <c r="C63" s="97" t="n">
        <v>21</v>
      </c>
      <c r="D63" s="97" t="n">
        <v>30</v>
      </c>
      <c r="E63" s="26" t="n">
        <v>30</v>
      </c>
      <c r="F63" s="27" t="s">
        <v>96</v>
      </c>
    </row>
    <row r="64" customFormat="false" ht="22.95" hidden="false" customHeight="true" outlineLevel="0" collapsed="false">
      <c r="A64" s="108"/>
      <c r="B64" s="59" t="s">
        <v>97</v>
      </c>
      <c r="C64" s="97" t="n">
        <v>5</v>
      </c>
      <c r="D64" s="97" t="n">
        <v>5</v>
      </c>
      <c r="E64" s="26" t="n">
        <v>5</v>
      </c>
      <c r="F64" s="27" t="s">
        <v>98</v>
      </c>
    </row>
    <row r="65" customFormat="false" ht="22.95" hidden="false" customHeight="true" outlineLevel="0" collapsed="false">
      <c r="A65" s="108"/>
      <c r="B65" s="59" t="s">
        <v>99</v>
      </c>
      <c r="C65" s="112" t="n">
        <v>2</v>
      </c>
      <c r="D65" s="112" t="n">
        <v>20</v>
      </c>
      <c r="E65" s="113" t="n">
        <v>20</v>
      </c>
      <c r="F65" s="94"/>
    </row>
    <row r="66" customFormat="false" ht="22.95" hidden="false" customHeight="true" outlineLevel="0" collapsed="false">
      <c r="A66" s="108"/>
      <c r="B66" s="59" t="s">
        <v>100</v>
      </c>
      <c r="C66" s="112" t="n">
        <v>0.174</v>
      </c>
      <c r="D66" s="112" t="n">
        <v>0.13</v>
      </c>
      <c r="E66" s="113" t="n">
        <v>0.13</v>
      </c>
      <c r="F66" s="94"/>
    </row>
    <row r="67" customFormat="false" ht="22.95" hidden="false" customHeight="true" outlineLevel="0" collapsed="false">
      <c r="A67" s="114" t="s">
        <v>101</v>
      </c>
      <c r="B67" s="115" t="s">
        <v>102</v>
      </c>
      <c r="C67" s="111" t="n">
        <v>0</v>
      </c>
      <c r="D67" s="111"/>
      <c r="E67" s="111"/>
      <c r="F67" s="116" t="s">
        <v>103</v>
      </c>
    </row>
    <row r="68" customFormat="false" ht="24" hidden="false" customHeight="true" outlineLevel="0" collapsed="false">
      <c r="A68" s="114"/>
      <c r="B68" s="117" t="s">
        <v>104</v>
      </c>
      <c r="C68" s="113" t="n">
        <v>0</v>
      </c>
      <c r="D68" s="113"/>
      <c r="E68" s="113"/>
      <c r="F68" s="116"/>
    </row>
    <row r="69" customFormat="false" ht="24" hidden="false" customHeight="true" outlineLevel="0" collapsed="false">
      <c r="A69" s="114"/>
      <c r="B69" s="117" t="s">
        <v>105</v>
      </c>
      <c r="C69" s="113" t="n">
        <v>0</v>
      </c>
      <c r="D69" s="113"/>
      <c r="E69" s="113"/>
      <c r="F69" s="116"/>
    </row>
    <row r="70" customFormat="false" ht="24" hidden="false" customHeight="true" outlineLevel="0" collapsed="false">
      <c r="A70" s="114"/>
      <c r="B70" s="117" t="s">
        <v>106</v>
      </c>
      <c r="C70" s="113" t="n">
        <v>0</v>
      </c>
      <c r="D70" s="113"/>
      <c r="E70" s="113"/>
      <c r="F70" s="116"/>
    </row>
    <row r="71" customFormat="false" ht="22.95" hidden="false" customHeight="true" outlineLevel="0" collapsed="false">
      <c r="A71" s="114"/>
      <c r="B71" s="117" t="s">
        <v>107</v>
      </c>
      <c r="C71" s="113" t="n">
        <v>0</v>
      </c>
      <c r="D71" s="113"/>
      <c r="E71" s="113"/>
      <c r="F71" s="116"/>
    </row>
    <row r="72" customFormat="false" ht="22.95" hidden="false" customHeight="true" outlineLevel="0" collapsed="false">
      <c r="A72" s="114"/>
      <c r="B72" s="117" t="s">
        <v>108</v>
      </c>
      <c r="C72" s="113" t="n">
        <v>0</v>
      </c>
      <c r="D72" s="113"/>
      <c r="E72" s="113"/>
      <c r="F72" s="116"/>
    </row>
    <row r="73" customFormat="false" ht="22.95" hidden="false" customHeight="true" outlineLevel="0" collapsed="false">
      <c r="A73" s="114"/>
      <c r="B73" s="117" t="s">
        <v>109</v>
      </c>
      <c r="C73" s="113" t="n">
        <v>0</v>
      </c>
      <c r="D73" s="113"/>
      <c r="E73" s="113"/>
      <c r="F73" s="116"/>
    </row>
    <row r="74" customFormat="false" ht="22.95" hidden="false" customHeight="true" outlineLevel="0" collapsed="false">
      <c r="A74" s="114"/>
      <c r="B74" s="117" t="s">
        <v>110</v>
      </c>
      <c r="C74" s="113" t="n">
        <v>3.6</v>
      </c>
      <c r="D74" s="113"/>
      <c r="E74" s="113"/>
      <c r="F74" s="116"/>
    </row>
    <row r="75" customFormat="false" ht="22.95" hidden="false" customHeight="true" outlineLevel="0" collapsed="false">
      <c r="A75" s="114"/>
      <c r="B75" s="117" t="s">
        <v>111</v>
      </c>
      <c r="C75" s="113" t="n">
        <v>0</v>
      </c>
      <c r="D75" s="113"/>
      <c r="E75" s="113"/>
      <c r="F75" s="116"/>
    </row>
    <row r="76" customFormat="false" ht="22.95" hidden="false" customHeight="true" outlineLevel="0" collapsed="false">
      <c r="A76" s="114"/>
      <c r="B76" s="117" t="s">
        <v>112</v>
      </c>
      <c r="C76" s="113" t="n">
        <v>0</v>
      </c>
      <c r="D76" s="113"/>
      <c r="E76" s="113"/>
      <c r="F76" s="116"/>
    </row>
    <row r="77" customFormat="false" ht="22.95" hidden="false" customHeight="true" outlineLevel="0" collapsed="false">
      <c r="A77" s="114"/>
      <c r="B77" s="118" t="s">
        <v>113</v>
      </c>
      <c r="C77" s="119" t="n">
        <v>10</v>
      </c>
      <c r="D77" s="119"/>
      <c r="E77" s="119"/>
      <c r="F77" s="116"/>
    </row>
    <row r="78" customFormat="false" ht="22.95" hidden="false" customHeight="true" outlineLevel="0" collapsed="false">
      <c r="A78" s="120" t="s">
        <v>114</v>
      </c>
      <c r="B78" s="121" t="s">
        <v>115</v>
      </c>
      <c r="C78" s="122" t="n">
        <v>700</v>
      </c>
      <c r="D78" s="123" t="n">
        <v>250</v>
      </c>
      <c r="E78" s="124" t="n">
        <v>50</v>
      </c>
      <c r="F78" s="90"/>
    </row>
    <row r="79" customFormat="false" ht="22.95" hidden="false" customHeight="true" outlineLevel="0" collapsed="false">
      <c r="A79" s="120"/>
      <c r="B79" s="125" t="s">
        <v>116</v>
      </c>
      <c r="C79" s="126" t="n">
        <v>20</v>
      </c>
      <c r="D79" s="127" t="n">
        <v>15</v>
      </c>
      <c r="E79" s="128" t="n">
        <v>10</v>
      </c>
      <c r="F79" s="27"/>
    </row>
    <row r="80" customFormat="false" ht="22.95" hidden="false" customHeight="true" outlineLevel="0" collapsed="false">
      <c r="A80" s="120"/>
      <c r="B80" s="129" t="s">
        <v>117</v>
      </c>
      <c r="C80" s="130" t="n">
        <v>1</v>
      </c>
      <c r="D80" s="131" t="n">
        <v>2</v>
      </c>
      <c r="E80" s="132" t="n">
        <v>3</v>
      </c>
      <c r="F80" s="133" t="s">
        <v>118</v>
      </c>
    </row>
    <row r="81" customFormat="false" ht="22.95" hidden="false" customHeight="true" outlineLevel="0" collapsed="false">
      <c r="A81" s="120"/>
      <c r="B81" s="129" t="s">
        <v>119</v>
      </c>
      <c r="C81" s="130" t="n">
        <v>1</v>
      </c>
      <c r="D81" s="131" t="n">
        <v>1</v>
      </c>
      <c r="E81" s="132" t="n">
        <v>3</v>
      </c>
      <c r="F81" s="133"/>
    </row>
    <row r="82" customFormat="false" ht="22.95" hidden="false" customHeight="true" outlineLevel="0" collapsed="false">
      <c r="A82" s="120"/>
      <c r="B82" s="129" t="s">
        <v>120</v>
      </c>
      <c r="C82" s="134" t="n">
        <v>220</v>
      </c>
      <c r="D82" s="134"/>
      <c r="E82" s="134"/>
      <c r="F82" s="27"/>
    </row>
    <row r="83" customFormat="false" ht="22.95" hidden="false" customHeight="true" outlineLevel="0" collapsed="false">
      <c r="A83" s="120"/>
      <c r="B83" s="129" t="s">
        <v>121</v>
      </c>
      <c r="C83" s="135" t="n">
        <f aca="false">C82/C79</f>
        <v>11</v>
      </c>
      <c r="D83" s="136" t="n">
        <f aca="false">C82/D79</f>
        <v>14.6666666666667</v>
      </c>
      <c r="E83" s="137" t="n">
        <f aca="false">C82/E79</f>
        <v>22</v>
      </c>
      <c r="F83" s="27"/>
    </row>
    <row r="84" customFormat="false" ht="22.95" hidden="false" customHeight="true" outlineLevel="0" collapsed="false">
      <c r="A84" s="120"/>
      <c r="B84" s="129" t="str">
        <f aca="false">"= en moyenne 1 brassin tous les"</f>
        <v>= en moyenne 1 brassin tous les</v>
      </c>
      <c r="C84" s="138" t="str">
        <f aca="false">ROUNDDOWN(C82/SUM(C79:E79),1)&amp;" Jours"</f>
        <v>4.8 Jours</v>
      </c>
      <c r="D84" s="138"/>
      <c r="E84" s="138"/>
      <c r="F84" s="27"/>
    </row>
    <row r="85" customFormat="false" ht="22.95" hidden="false" customHeight="true" outlineLevel="0" collapsed="false">
      <c r="A85" s="120"/>
      <c r="B85" s="139" t="s">
        <v>122</v>
      </c>
      <c r="C85" s="140" t="n">
        <v>0</v>
      </c>
      <c r="D85" s="141" t="n">
        <v>0</v>
      </c>
      <c r="E85" s="142" t="n">
        <v>0</v>
      </c>
      <c r="F85" s="143" t="s">
        <v>123</v>
      </c>
    </row>
    <row r="86" customFormat="false" ht="14.4" hidden="false" customHeight="true" outlineLevel="0" collapsed="false"/>
    <row r="90" customFormat="false" ht="14.4" hidden="false" customHeight="true" outlineLevel="0" collapsed="false"/>
  </sheetData>
  <sheetProtection algorithmName="SHA-512" hashValue="3A2glNMNs5ptdaC6ENIVlBhsXNwn+GNYWFUVoJY4IQN026rk3uONzt0jccd8uk+NJIWnG0ABxQhhjHFy0RUU5A==" saltValue="P0pIU5wCASC7y3vBfEihYg==" spinCount="100000" sheet="true" objects="true" scenarios="true"/>
  <mergeCells count="39">
    <mergeCell ref="A1:F1"/>
    <mergeCell ref="A2:F3"/>
    <mergeCell ref="B4:B5"/>
    <mergeCell ref="C4:E4"/>
    <mergeCell ref="F4:F5"/>
    <mergeCell ref="A7:A14"/>
    <mergeCell ref="A15:A18"/>
    <mergeCell ref="F17:F18"/>
    <mergeCell ref="A19:A20"/>
    <mergeCell ref="A21:A24"/>
    <mergeCell ref="F22:F23"/>
    <mergeCell ref="A25:A26"/>
    <mergeCell ref="A28:A36"/>
    <mergeCell ref="A37:A41"/>
    <mergeCell ref="A42:A50"/>
    <mergeCell ref="F44:F46"/>
    <mergeCell ref="F49:F50"/>
    <mergeCell ref="A51:A59"/>
    <mergeCell ref="F53:F55"/>
    <mergeCell ref="F58:F59"/>
    <mergeCell ref="A60:A66"/>
    <mergeCell ref="F65:F66"/>
    <mergeCell ref="A67:A77"/>
    <mergeCell ref="C67:E67"/>
    <mergeCell ref="F67:F7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A78:A85"/>
    <mergeCell ref="F80:F81"/>
    <mergeCell ref="C82:E82"/>
    <mergeCell ref="C84:E8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27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59" activePane="bottomLeft" state="frozen"/>
      <selection pane="topLeft" activeCell="A1" activeCellId="0" sqref="A1"/>
      <selection pane="bottomLeft" activeCell="D82" activeCellId="0" sqref="D82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5.56"/>
    <col collapsed="false" customWidth="true" hidden="false" outlineLevel="0" max="3" min="3" style="0" width="44.22"/>
    <col collapsed="false" customWidth="true" hidden="false" outlineLevel="0" max="4" min="4" style="0" width="22.66"/>
    <col collapsed="false" customWidth="true" hidden="false" outlineLevel="0" max="5" min="5" style="0" width="20.45"/>
    <col collapsed="false" customWidth="true" hidden="false" outlineLevel="0" max="6" min="6" style="0" width="22.89"/>
    <col collapsed="false" customWidth="true" hidden="false" outlineLevel="0" max="7" min="7" style="0" width="22.78"/>
    <col collapsed="false" customWidth="true" hidden="false" outlineLevel="0" max="8" min="8" style="0" width="23.22"/>
    <col collapsed="false" customWidth="true" hidden="false" outlineLevel="0" max="9" min="9" style="0" width="20.11"/>
    <col collapsed="false" customWidth="true" hidden="false" outlineLevel="0" max="10" min="10" style="0" width="14.01"/>
    <col collapsed="false" customWidth="true" hidden="false" outlineLevel="0" max="11" min="11" style="0" width="16"/>
    <col collapsed="false" customWidth="true" hidden="false" outlineLevel="0" max="12" min="12" style="0" width="16.33"/>
    <col collapsed="false" customWidth="true" hidden="false" outlineLevel="0" max="13" min="13" style="0" width="10.12"/>
    <col collapsed="false" customWidth="true" hidden="false" outlineLevel="0" max="14" min="14" style="0" width="20.78"/>
  </cols>
  <sheetData>
    <row r="1" customFormat="false" ht="26.4" hidden="false" customHeight="true" outlineLevel="0" collapsed="false">
      <c r="A1" s="144" t="str">
        <f aca="false">"Projections recette "&amp;Donnees!C6</f>
        <v>Projections recette La blonde</v>
      </c>
      <c r="B1" s="144"/>
      <c r="C1" s="144"/>
      <c r="D1" s="144"/>
      <c r="E1" s="144"/>
      <c r="F1" s="144"/>
      <c r="G1" s="144"/>
      <c r="H1" s="144"/>
      <c r="I1" s="144"/>
      <c r="J1" s="144"/>
    </row>
    <row r="2" customFormat="false" ht="48.6" hidden="false" customHeight="true" outlineLevel="0" collapsed="false">
      <c r="C2" s="145"/>
      <c r="D2" s="145"/>
      <c r="E2" s="145"/>
      <c r="F2" s="145"/>
      <c r="G2" s="146" t="s">
        <v>124</v>
      </c>
      <c r="H2" s="145"/>
    </row>
    <row r="3" customFormat="false" ht="27.6" hidden="false" customHeight="true" outlineLevel="0" collapsed="false">
      <c r="B3" s="147" t="s">
        <v>125</v>
      </c>
      <c r="C3" s="147"/>
      <c r="D3" s="147"/>
      <c r="E3" s="147"/>
      <c r="F3" s="147"/>
      <c r="G3" s="147"/>
      <c r="H3" s="147"/>
      <c r="I3" s="147"/>
    </row>
    <row r="4" customFormat="false" ht="35.4" hidden="false" customHeight="true" outlineLevel="0" collapsed="false">
      <c r="B4" s="148" t="s">
        <v>126</v>
      </c>
      <c r="C4" s="148"/>
      <c r="D4" s="149" t="s">
        <v>127</v>
      </c>
      <c r="E4" s="150" t="s">
        <v>128</v>
      </c>
      <c r="F4" s="150" t="s">
        <v>129</v>
      </c>
      <c r="G4" s="151" t="s">
        <v>130</v>
      </c>
      <c r="H4" s="152" t="s">
        <v>131</v>
      </c>
      <c r="I4" s="152" t="s">
        <v>132</v>
      </c>
    </row>
    <row r="5" customFormat="false" ht="23.4" hidden="false" customHeight="true" outlineLevel="0" collapsed="false">
      <c r="B5" s="153" t="s">
        <v>65</v>
      </c>
      <c r="C5" s="154" t="str">
        <f aca="false">"Bouteilles contenance "&amp;Donnees!C42&amp;" cl"</f>
        <v>Bouteilles contenance 0.33 cl</v>
      </c>
      <c r="D5" s="155" t="n">
        <f aca="false">Donnees!C44</f>
        <v>0.2</v>
      </c>
      <c r="E5" s="156" t="n">
        <f aca="false">ROUNDDOWN(((Donnees!C43*Donnees!C10)/100)/Donnees!C42,0)*((100-Donnees!C48)/100)</f>
        <v>95</v>
      </c>
      <c r="F5" s="157" t="n">
        <f aca="false">(D5*E5)</f>
        <v>19</v>
      </c>
      <c r="G5" s="158" t="n">
        <f aca="false">(F5*100)/D33</f>
        <v>10.1011319838635</v>
      </c>
      <c r="H5" s="159" t="n">
        <f aca="false">SUM(F5:F8)</f>
        <v>36.67</v>
      </c>
      <c r="I5" s="160" t="n">
        <f aca="false">SUM(G5:G8)</f>
        <v>19.4951847288566</v>
      </c>
    </row>
    <row r="6" customFormat="false" ht="21.6" hidden="false" customHeight="true" outlineLevel="0" collapsed="false">
      <c r="B6" s="153"/>
      <c r="C6" s="161" t="str">
        <f aca="false">"Etiquettes bouteilles contenance "&amp;Donnees!C42&amp;" cl"</f>
        <v>Etiquettes bouteilles contenance 0.33 cl</v>
      </c>
      <c r="D6" s="162" t="n">
        <f aca="false">Donnees!C45</f>
        <v>0.08</v>
      </c>
      <c r="E6" s="163" t="n">
        <f aca="false">ROUNDDOWN(((Donnees!C43*Donnees!C10)/100)/Donnees!C42,0)</f>
        <v>190</v>
      </c>
      <c r="F6" s="164" t="n">
        <f aca="false">(D6*E6)</f>
        <v>15.2</v>
      </c>
      <c r="G6" s="165" t="n">
        <f aca="false">(F6*100)/D33</f>
        <v>8.08090558709081</v>
      </c>
      <c r="H6" s="159"/>
      <c r="I6" s="160"/>
    </row>
    <row r="7" customFormat="false" ht="21.6" hidden="false" customHeight="true" outlineLevel="0" collapsed="false">
      <c r="B7" s="153"/>
      <c r="C7" s="161" t="str">
        <f aca="false">"Capsules bouteilles contenance "&amp;Donnees!C42&amp;" cl"</f>
        <v>Capsules bouteilles contenance 0.33 cl</v>
      </c>
      <c r="D7" s="162" t="n">
        <f aca="false">Donnees!C46</f>
        <v>0.013</v>
      </c>
      <c r="E7" s="163" t="n">
        <f aca="false">ROUNDDOWN(((Donnees!C43*Donnees!C10)/100)/Donnees!C42,0)</f>
        <v>190</v>
      </c>
      <c r="F7" s="164" t="n">
        <f aca="false">D7*E7</f>
        <v>2.47</v>
      </c>
      <c r="G7" s="165" t="n">
        <f aca="false">(F7*100)/D33</f>
        <v>1.31314715790226</v>
      </c>
      <c r="H7" s="159"/>
      <c r="I7" s="160"/>
    </row>
    <row r="8" customFormat="false" ht="21" hidden="false" customHeight="true" outlineLevel="0" collapsed="false">
      <c r="B8" s="153"/>
      <c r="C8" s="166" t="s">
        <v>133</v>
      </c>
      <c r="D8" s="167" t="n">
        <f aca="false">Donnees!C49</f>
        <v>0</v>
      </c>
      <c r="E8" s="168" t="n">
        <f aca="false">E7/Donnees!C50</f>
        <v>7.91666666666667</v>
      </c>
      <c r="F8" s="169" t="n">
        <f aca="false">E8*D8</f>
        <v>0</v>
      </c>
      <c r="G8" s="170" t="n">
        <f aca="false">(F8*100)/D33</f>
        <v>0</v>
      </c>
      <c r="H8" s="159"/>
      <c r="I8" s="160"/>
    </row>
    <row r="9" customFormat="false" ht="25.2" hidden="false" customHeight="true" outlineLevel="0" collapsed="false">
      <c r="B9" s="171" t="s">
        <v>81</v>
      </c>
      <c r="C9" s="172" t="str">
        <f aca="false">"Bouteilles contenance "&amp;Donnees!C51&amp;" cl"</f>
        <v>Bouteilles contenance 0.75 cl</v>
      </c>
      <c r="D9" s="155" t="n">
        <f aca="false">Donnees!C53</f>
        <v>0.4</v>
      </c>
      <c r="E9" s="173" t="n">
        <f aca="false">ROUNDDOWN(((Donnees!C52*Donnees!C10)/100)/Donnees!C51,0)*((100-Donnees!C57)/100)</f>
        <v>42</v>
      </c>
      <c r="F9" s="157" t="n">
        <f aca="false">E9*D9</f>
        <v>16.8</v>
      </c>
      <c r="G9" s="158" t="n">
        <f aca="false">(F9*100)/D33</f>
        <v>8.93152722783722</v>
      </c>
      <c r="H9" s="159" t="n">
        <f aca="false">SUM(F9:F12)</f>
        <v>26.04</v>
      </c>
      <c r="I9" s="160" t="n">
        <f aca="false">SUM(G9:G12)</f>
        <v>13.8438672031477</v>
      </c>
    </row>
    <row r="10" customFormat="false" ht="21" hidden="false" customHeight="true" outlineLevel="0" collapsed="false">
      <c r="B10" s="171"/>
      <c r="C10" s="174" t="str">
        <f aca="false">"Etiquettes bouteilles contenance "&amp;Donnees!C51&amp;" cl"</f>
        <v>Etiquettes bouteilles contenance 0.75 cl</v>
      </c>
      <c r="D10" s="162" t="n">
        <f aca="false">Donnees!C54</f>
        <v>0.08</v>
      </c>
      <c r="E10" s="175" t="n">
        <f aca="false">ROUNDDOWN(((Donnees!C52*Donnees!C10)/100)/Donnees!C51,0)</f>
        <v>84</v>
      </c>
      <c r="F10" s="164" t="n">
        <f aca="false">D10*E10</f>
        <v>6.72</v>
      </c>
      <c r="G10" s="165" t="n">
        <f aca="false">(F10*100)/D33</f>
        <v>3.57261089113489</v>
      </c>
      <c r="H10" s="159"/>
      <c r="I10" s="160"/>
    </row>
    <row r="11" customFormat="false" ht="21" hidden="false" customHeight="true" outlineLevel="0" collapsed="false">
      <c r="B11" s="171"/>
      <c r="C11" s="174" t="str">
        <f aca="false">"Capsules bouteilles contenance "&amp;Donnees!C51&amp;" cl"</f>
        <v>Capsules bouteilles contenance 0.75 cl</v>
      </c>
      <c r="D11" s="162" t="n">
        <f aca="false">Donnees!C55</f>
        <v>0.03</v>
      </c>
      <c r="E11" s="175" t="n">
        <f aca="false">ROUNDDOWN(((Donnees!C52*Donnees!C10)/100)/Donnees!C51,0)</f>
        <v>84</v>
      </c>
      <c r="F11" s="164" t="n">
        <f aca="false">D11*E11</f>
        <v>2.52</v>
      </c>
      <c r="G11" s="165" t="n">
        <f aca="false">(F11*100)/D33</f>
        <v>1.33972908417558</v>
      </c>
      <c r="H11" s="159"/>
      <c r="I11" s="160"/>
    </row>
    <row r="12" customFormat="false" ht="21" hidden="false" customHeight="true" outlineLevel="0" collapsed="false">
      <c r="B12" s="171"/>
      <c r="C12" s="176" t="s">
        <v>133</v>
      </c>
      <c r="D12" s="167" t="n">
        <f aca="false">Donnees!C58</f>
        <v>0</v>
      </c>
      <c r="E12" s="177" t="n">
        <f aca="false">E10/Donnees!C59</f>
        <v>14</v>
      </c>
      <c r="F12" s="178" t="n">
        <f aca="false">E12*D12</f>
        <v>0</v>
      </c>
      <c r="G12" s="170" t="n">
        <f aca="false">(F12*100)/D33</f>
        <v>0</v>
      </c>
      <c r="H12" s="159"/>
      <c r="I12" s="160"/>
    </row>
    <row r="13" customFormat="false" ht="21" hidden="false" customHeight="true" outlineLevel="0" collapsed="false">
      <c r="B13" s="179" t="s">
        <v>134</v>
      </c>
      <c r="C13" s="180" t="s">
        <v>135</v>
      </c>
      <c r="D13" s="155" t="n">
        <f aca="false">Donnees!C15</f>
        <v>0.79</v>
      </c>
      <c r="E13" s="156" t="n">
        <f aca="false">Donnees!C16</f>
        <v>32</v>
      </c>
      <c r="F13" s="157" t="n">
        <f aca="false">(D13*E13)</f>
        <v>25.28</v>
      </c>
      <c r="G13" s="158" t="n">
        <f aca="false">(F13*100)/D33</f>
        <v>13.4398219237931</v>
      </c>
      <c r="H13" s="181" t="n">
        <f aca="false">SUM(F13:F22)</f>
        <v>63.5</v>
      </c>
      <c r="I13" s="160" t="n">
        <f aca="false">SUM(G13:G22)</f>
        <v>33.7590463671228</v>
      </c>
    </row>
    <row r="14" customFormat="false" ht="21" hidden="false" customHeight="true" outlineLevel="0" collapsed="false">
      <c r="B14" s="179"/>
      <c r="C14" s="182" t="s">
        <v>136</v>
      </c>
      <c r="D14" s="162" t="n">
        <f aca="false">Donnees!C20</f>
        <v>3</v>
      </c>
      <c r="E14" s="163" t="n">
        <f aca="false">Donnees!C19</f>
        <v>0.8</v>
      </c>
      <c r="F14" s="164" t="n">
        <f aca="false">E14*D14</f>
        <v>2.4</v>
      </c>
      <c r="G14" s="165" t="n">
        <f aca="false">(F14*100)/D33</f>
        <v>1.2759324611196</v>
      </c>
      <c r="H14" s="181"/>
      <c r="I14" s="160"/>
    </row>
    <row r="15" customFormat="false" ht="21" hidden="false" customHeight="true" outlineLevel="0" collapsed="false">
      <c r="B15" s="179"/>
      <c r="C15" s="182" t="s">
        <v>137</v>
      </c>
      <c r="D15" s="162" t="n">
        <f aca="false">Donnees!C37</f>
        <v>3</v>
      </c>
      <c r="E15" s="163" t="n">
        <f aca="false">Donnees!C7/1000+50%</f>
        <v>0.7</v>
      </c>
      <c r="F15" s="164" t="n">
        <f aca="false">(D15*E15)</f>
        <v>2.1</v>
      </c>
      <c r="G15" s="165" t="n">
        <f aca="false">(F15*100)/D33</f>
        <v>1.11644090347965</v>
      </c>
      <c r="H15" s="181"/>
      <c r="I15" s="160"/>
    </row>
    <row r="16" customFormat="false" ht="21" hidden="false" customHeight="true" outlineLevel="0" collapsed="false">
      <c r="B16" s="179"/>
      <c r="C16" s="182" t="s">
        <v>138</v>
      </c>
      <c r="D16" s="162" t="n">
        <f aca="false">Donnees!C38</f>
        <v>1</v>
      </c>
      <c r="E16" s="163" t="n">
        <f aca="false">D16*Donnees!C39</f>
        <v>1</v>
      </c>
      <c r="F16" s="164" t="n">
        <f aca="false">(D16*E16)</f>
        <v>1</v>
      </c>
      <c r="G16" s="165" t="n">
        <f aca="false">(F16*100)/D33</f>
        <v>0.531638525466501</v>
      </c>
      <c r="H16" s="181"/>
      <c r="I16" s="160"/>
    </row>
    <row r="17" customFormat="false" ht="21" hidden="false" customHeight="true" outlineLevel="0" collapsed="false">
      <c r="B17" s="179"/>
      <c r="C17" s="182" t="s">
        <v>139</v>
      </c>
      <c r="D17" s="162" t="n">
        <f aca="false">Donnees!C40</f>
        <v>120</v>
      </c>
      <c r="E17" s="163" t="n">
        <f aca="false">Donnees!C41</f>
        <v>0.07</v>
      </c>
      <c r="F17" s="164" t="n">
        <f aca="false">(D17*E17)</f>
        <v>8.4</v>
      </c>
      <c r="G17" s="165" t="n">
        <f aca="false">(F17*100)/D33</f>
        <v>4.46576361391861</v>
      </c>
      <c r="H17" s="181"/>
      <c r="I17" s="160"/>
    </row>
    <row r="18" customFormat="false" ht="21" hidden="false" customHeight="true" outlineLevel="0" collapsed="false">
      <c r="B18" s="179"/>
      <c r="C18" s="182" t="s">
        <v>140</v>
      </c>
      <c r="D18" s="162" t="n">
        <f aca="false">Donnees!C21</f>
        <v>36</v>
      </c>
      <c r="E18" s="163" t="n">
        <f aca="false">Donnees!C24</f>
        <v>0.12</v>
      </c>
      <c r="F18" s="164" t="n">
        <f aca="false">(D18*E18)</f>
        <v>4.32</v>
      </c>
      <c r="G18" s="165" t="n">
        <f aca="false">(F18*100)/D33</f>
        <v>2.29667843001528</v>
      </c>
      <c r="H18" s="181"/>
      <c r="I18" s="160"/>
    </row>
    <row r="19" customFormat="false" ht="21" hidden="false" customHeight="true" outlineLevel="0" collapsed="false">
      <c r="B19" s="179"/>
      <c r="C19" s="183" t="str">
        <f aca="false">"Epices / Aromes "&amp;Donnees!C27</f>
        <v>Epices / Aromes Girofle</v>
      </c>
      <c r="D19" s="184" t="n">
        <f aca="false">Donnees!C28</f>
        <v>3</v>
      </c>
      <c r="E19" s="185" t="n">
        <f aca="false">Donnees!C29</f>
        <v>0</v>
      </c>
      <c r="F19" s="186" t="n">
        <f aca="false">D19*E19</f>
        <v>0</v>
      </c>
      <c r="G19" s="187" t="n">
        <f aca="false">(F19*100)/D33</f>
        <v>0</v>
      </c>
      <c r="H19" s="181"/>
      <c r="I19" s="160"/>
    </row>
    <row r="20" customFormat="false" ht="21" hidden="false" customHeight="true" outlineLevel="0" collapsed="false">
      <c r="B20" s="179"/>
      <c r="C20" s="183" t="str">
        <f aca="false">"Epices / Aromes "&amp;Donnees!C32</f>
        <v>Epices / Aromes Miel</v>
      </c>
      <c r="D20" s="184" t="n">
        <f aca="false">Donnees!C31</f>
        <v>7</v>
      </c>
      <c r="E20" s="185" t="n">
        <f aca="false">Donnees!C33</f>
        <v>0</v>
      </c>
      <c r="F20" s="186" t="n">
        <f aca="false">D20*E20</f>
        <v>0</v>
      </c>
      <c r="G20" s="187" t="n">
        <f aca="false">(F20*100)/D33</f>
        <v>0</v>
      </c>
      <c r="H20" s="181"/>
      <c r="I20" s="160"/>
    </row>
    <row r="21" customFormat="false" ht="21" hidden="false" customHeight="true" outlineLevel="0" collapsed="false">
      <c r="B21" s="179"/>
      <c r="C21" s="183" t="str">
        <f aca="false">"Epices / Aromes "&amp;Donnees!C35</f>
        <v>Epices / Aromes Vanille</v>
      </c>
      <c r="D21" s="184" t="n">
        <f aca="false">Donnees!C34</f>
        <v>4</v>
      </c>
      <c r="E21" s="185" t="n">
        <f aca="false">Donnees!C36</f>
        <v>0</v>
      </c>
      <c r="F21" s="186" t="n">
        <f aca="false">D21*E21</f>
        <v>0</v>
      </c>
      <c r="G21" s="187" t="n">
        <f aca="false">(F21*100)/D33</f>
        <v>0</v>
      </c>
      <c r="H21" s="181"/>
      <c r="I21" s="160"/>
    </row>
    <row r="22" customFormat="false" ht="21" hidden="false" customHeight="true" outlineLevel="0" collapsed="false">
      <c r="B22" s="179"/>
      <c r="C22" s="188" t="s">
        <v>141</v>
      </c>
      <c r="D22" s="189" t="n">
        <f aca="false">Donnees!C26</f>
        <v>0.4</v>
      </c>
      <c r="E22" s="190" t="n">
        <f aca="false">Donnees!C25</f>
        <v>50</v>
      </c>
      <c r="F22" s="169" t="n">
        <f aca="false">E22*D22</f>
        <v>20</v>
      </c>
      <c r="G22" s="170" t="n">
        <f aca="false">(F22*100)/D33</f>
        <v>10.63277050933</v>
      </c>
      <c r="H22" s="181"/>
      <c r="I22" s="160"/>
    </row>
    <row r="23" customFormat="false" ht="21" hidden="false" customHeight="true" outlineLevel="0" collapsed="false">
      <c r="B23" s="191" t="s">
        <v>89</v>
      </c>
      <c r="C23" s="192" t="s">
        <v>142</v>
      </c>
      <c r="D23" s="156" t="n">
        <f aca="false">3.7*((Donnees!C10)/100)*Donnees!C12</f>
        <v>27.972</v>
      </c>
      <c r="E23" s="156" t="n">
        <v>1</v>
      </c>
      <c r="F23" s="157" t="n">
        <f aca="false">(D23*E23)</f>
        <v>27.972</v>
      </c>
      <c r="G23" s="158" t="n">
        <f aca="false">(F23*100)/D33</f>
        <v>14.870992834349</v>
      </c>
      <c r="H23" s="181" t="n">
        <f aca="false">SUM(F23:F27)</f>
        <v>61.8877303370786</v>
      </c>
      <c r="I23" s="160" t="n">
        <f aca="false">SUM(G23:G27)</f>
        <v>32.9019017008729</v>
      </c>
    </row>
    <row r="24" customFormat="false" ht="17.4" hidden="false" customHeight="true" outlineLevel="0" collapsed="false">
      <c r="B24" s="191"/>
      <c r="C24" s="193" t="s">
        <v>143</v>
      </c>
      <c r="D24" s="163" t="n">
        <f aca="false">Donnees!C61</f>
        <v>38</v>
      </c>
      <c r="E24" s="163" t="n">
        <f aca="false">(Donnees!C64*Donnees!C63)/Donnees!C62</f>
        <v>0.589887640449438</v>
      </c>
      <c r="F24" s="164" t="n">
        <f aca="false">(D24*E24)</f>
        <v>22.4157303370786</v>
      </c>
      <c r="G24" s="165" t="n">
        <f aca="false">(F24*100)/D33</f>
        <v>11.9170658236592</v>
      </c>
      <c r="H24" s="181"/>
      <c r="I24" s="160"/>
    </row>
    <row r="25" customFormat="false" ht="17.4" hidden="false" customHeight="true" outlineLevel="0" collapsed="false">
      <c r="B25" s="191"/>
      <c r="C25" s="194" t="s">
        <v>144</v>
      </c>
      <c r="D25" s="185" t="n">
        <f aca="false">Donnees!C65</f>
        <v>2</v>
      </c>
      <c r="E25" s="185" t="n">
        <f aca="false">Donnees!C85</f>
        <v>0</v>
      </c>
      <c r="F25" s="186" t="n">
        <f aca="false">D25*E25</f>
        <v>0</v>
      </c>
      <c r="G25" s="195" t="n">
        <f aca="false">(F25*100)/D33</f>
        <v>0</v>
      </c>
      <c r="H25" s="181"/>
      <c r="I25" s="160"/>
    </row>
    <row r="26" customFormat="false" ht="17.4" hidden="false" customHeight="true" outlineLevel="0" collapsed="false">
      <c r="B26" s="191"/>
      <c r="C26" s="194" t="s">
        <v>145</v>
      </c>
      <c r="D26" s="185" t="n">
        <f aca="false">Donnees!C37</f>
        <v>3</v>
      </c>
      <c r="E26" s="185" t="n">
        <f aca="false">Donnees!C60/1000</f>
        <v>0.5</v>
      </c>
      <c r="F26" s="186" t="n">
        <f aca="false">D26*E26</f>
        <v>1.5</v>
      </c>
      <c r="G26" s="195" t="n">
        <f aca="false">(F26*100)/D33</f>
        <v>0.797457788199751</v>
      </c>
      <c r="H26" s="181"/>
      <c r="I26" s="160"/>
    </row>
    <row r="27" customFormat="false" ht="21" hidden="false" customHeight="true" outlineLevel="0" collapsed="false">
      <c r="B27" s="191"/>
      <c r="C27" s="196" t="s">
        <v>146</v>
      </c>
      <c r="D27" s="197" t="n">
        <f aca="false">Donnees!C13</f>
        <v>10</v>
      </c>
      <c r="E27" s="197" t="n">
        <v>1</v>
      </c>
      <c r="F27" s="169" t="n">
        <f aca="false">D27*E27</f>
        <v>10</v>
      </c>
      <c r="G27" s="198" t="n">
        <f aca="false">(F27*100)/D33</f>
        <v>5.31638525466501</v>
      </c>
      <c r="H27" s="181"/>
      <c r="I27" s="160"/>
    </row>
    <row r="28" customFormat="false" ht="32.4" hidden="false" customHeight="true" outlineLevel="0" collapsed="false">
      <c r="C28" s="199"/>
      <c r="D28" s="200"/>
      <c r="E28" s="200"/>
      <c r="F28" s="201"/>
      <c r="G28" s="201"/>
      <c r="H28" s="202"/>
    </row>
    <row r="29" customFormat="false" ht="21" hidden="false" customHeight="true" outlineLevel="0" collapsed="false">
      <c r="C29" s="203" t="str">
        <f aca="false">"Reventes bouteilles "&amp;Donnees!C42&amp;" cl"</f>
        <v>Reventes bouteilles 0.33 cl</v>
      </c>
      <c r="D29" s="204" t="n">
        <f aca="false">Donnees!C47</f>
        <v>2.5</v>
      </c>
      <c r="E29" s="158" t="n">
        <f aca="false">ROUNDDOWN(((Donnees!C43*Donnees!C10)/100)/Donnees!C42,0)</f>
        <v>190</v>
      </c>
      <c r="F29" s="205" t="n">
        <f aca="false">E29*D29</f>
        <v>475</v>
      </c>
      <c r="G29" s="201"/>
      <c r="H29" s="206"/>
    </row>
    <row r="30" customFormat="false" ht="21" hidden="false" customHeight="true" outlineLevel="0" collapsed="false">
      <c r="B30" s="207"/>
      <c r="C30" s="208" t="str">
        <f aca="false">"Reventes bouteilles "&amp;Donnees!C51&amp;" cl"</f>
        <v>Reventes bouteilles 0.75 cl</v>
      </c>
      <c r="D30" s="209" t="n">
        <f aca="false">Donnees!C56</f>
        <v>5</v>
      </c>
      <c r="E30" s="170" t="n">
        <f aca="false">ROUNDDOWN(((Donnees!C52*Donnees!C10)/100)/Donnees!C51,0)</f>
        <v>84</v>
      </c>
      <c r="F30" s="210" t="n">
        <f aca="false">D30*E30</f>
        <v>420</v>
      </c>
      <c r="G30" s="201"/>
      <c r="H30" s="206"/>
      <c r="J30" s="211"/>
    </row>
    <row r="31" customFormat="false" ht="21" hidden="false" customHeight="true" outlineLevel="0" collapsed="false">
      <c r="B31" s="207"/>
      <c r="C31" s="199"/>
      <c r="D31" s="200"/>
      <c r="E31" s="212"/>
      <c r="F31" s="201"/>
      <c r="G31" s="201"/>
      <c r="H31" s="206"/>
      <c r="J31" s="211"/>
    </row>
    <row r="32" customFormat="false" ht="21" hidden="false" customHeight="true" outlineLevel="0" collapsed="false">
      <c r="B32" s="207"/>
      <c r="C32" s="213" t="s">
        <v>147</v>
      </c>
      <c r="D32" s="213"/>
      <c r="E32" s="214"/>
      <c r="F32" s="214"/>
      <c r="G32" s="201"/>
      <c r="H32" s="206"/>
      <c r="J32" s="211"/>
    </row>
    <row r="33" customFormat="false" ht="24" hidden="false" customHeight="true" outlineLevel="0" collapsed="false">
      <c r="C33" s="215" t="s">
        <v>148</v>
      </c>
      <c r="D33" s="216" t="n">
        <f aca="false">SUM(F5:F27)</f>
        <v>188.097730337079</v>
      </c>
      <c r="E33" s="217"/>
      <c r="F33" s="217"/>
      <c r="G33" s="200"/>
      <c r="H33" s="200"/>
      <c r="J33" s="211"/>
    </row>
    <row r="34" customFormat="false" ht="24" hidden="false" customHeight="true" outlineLevel="0" collapsed="false">
      <c r="C34" s="218" t="s">
        <v>149</v>
      </c>
      <c r="D34" s="219" t="n">
        <f aca="false">F29+F30</f>
        <v>895</v>
      </c>
      <c r="E34" s="217"/>
      <c r="F34" s="217"/>
      <c r="G34" s="200"/>
      <c r="H34" s="200"/>
      <c r="J34" s="211"/>
    </row>
    <row r="35" customFormat="false" ht="24" hidden="false" customHeight="true" outlineLevel="0" collapsed="false">
      <c r="C35" s="220" t="s">
        <v>150</v>
      </c>
      <c r="D35" s="221" t="n">
        <f aca="false">D34-D33</f>
        <v>706.902269662921</v>
      </c>
      <c r="E35" s="222"/>
      <c r="F35" s="222"/>
      <c r="G35" s="200"/>
      <c r="H35" s="200"/>
      <c r="J35" s="211"/>
    </row>
    <row r="36" customFormat="false" ht="24" hidden="false" customHeight="true" outlineLevel="0" collapsed="false">
      <c r="C36" s="223" t="str">
        <f aca="false">"Cout de production bouteilles "&amp;Donnees!C42&amp;" l"</f>
        <v>Cout de production bouteilles 0.33 l</v>
      </c>
      <c r="D36" s="224" t="n">
        <f aca="false">IF(F5&gt;=1,SUM(F5:F5,F16:F27)*(Donnees!C43/100)/F29,0)</f>
        <v>0.120639716144293</v>
      </c>
      <c r="E36" s="222"/>
      <c r="F36" s="222"/>
      <c r="G36" s="200"/>
      <c r="H36" s="200"/>
    </row>
    <row r="37" customFormat="false" ht="24" hidden="false" customHeight="true" outlineLevel="0" collapsed="false">
      <c r="C37" s="223" t="str">
        <f aca="false">"Marge bouteilles "&amp;Donnees!C42&amp;" l"</f>
        <v>Marge bouteilles 0.33 l</v>
      </c>
      <c r="D37" s="224" t="n">
        <f aca="false">IF(F5&gt;=1,D29-D36,0)</f>
        <v>2.37936028385571</v>
      </c>
      <c r="E37" s="222"/>
      <c r="F37" s="222"/>
      <c r="G37" s="200"/>
      <c r="H37" s="200"/>
    </row>
    <row r="38" customFormat="false" ht="24" hidden="false" customHeight="true" outlineLevel="0" collapsed="false">
      <c r="C38" s="223" t="str">
        <f aca="false">"Marge commerciale (%) bouteilles "&amp;Donnees!C42&amp;" l"</f>
        <v>Marge commerciale (%) bouteilles 0.33 l</v>
      </c>
      <c r="D38" s="225" t="n">
        <f aca="false">IF(F5&gt;=1,(D37/D36)*100,0)</f>
        <v>1972.28604302237</v>
      </c>
      <c r="E38" s="222"/>
      <c r="F38" s="222"/>
      <c r="G38" s="200"/>
      <c r="H38" s="200"/>
    </row>
    <row r="39" customFormat="false" ht="24" hidden="false" customHeight="true" outlineLevel="0" collapsed="false">
      <c r="C39" s="223" t="str">
        <f aca="false">"Cout de production bouteilles "&amp;Donnees!C51&amp;" l"</f>
        <v>Cout de production bouteilles 0.75 l</v>
      </c>
      <c r="D39" s="224" t="n">
        <f aca="false">IF(F9&gt;=1,SUM(F13,F15,F9:F27)*(Donnees!C52/100)/F30,0)</f>
        <v>0.212866345639379</v>
      </c>
      <c r="E39" s="222"/>
      <c r="F39" s="222"/>
      <c r="G39" s="200"/>
      <c r="H39" s="200"/>
    </row>
    <row r="40" customFormat="false" ht="24" hidden="false" customHeight="true" outlineLevel="0" collapsed="false">
      <c r="C40" s="223" t="str">
        <f aca="false">"Marge bouteilles "&amp;Donnees!C51&amp;" l"</f>
        <v>Marge bouteilles 0.75 l</v>
      </c>
      <c r="D40" s="224" t="n">
        <f aca="false">IF(F9&gt;=1,SUM(D30-D39),0)</f>
        <v>4.78713365436062</v>
      </c>
      <c r="E40" s="222"/>
      <c r="F40" s="222"/>
      <c r="G40" s="200"/>
      <c r="H40" s="200"/>
    </row>
    <row r="41" customFormat="false" ht="24" hidden="false" customHeight="true" outlineLevel="0" collapsed="false">
      <c r="C41" s="223" t="str">
        <f aca="false">"Marge commerciale bouteilles (%) "&amp;Donnees!C51&amp;" l"</f>
        <v>Marge commerciale bouteilles (%) 0.75 l</v>
      </c>
      <c r="D41" s="225" t="n">
        <f aca="false">IF(F9&gt;=1,(D40/D39*100),0)</f>
        <v>2248.89173531949</v>
      </c>
      <c r="E41" s="222"/>
      <c r="F41" s="222"/>
      <c r="G41" s="200"/>
      <c r="H41" s="200"/>
    </row>
    <row r="42" customFormat="false" ht="17.4" hidden="false" customHeight="false" outlineLevel="0" collapsed="false">
      <c r="C42" s="226"/>
      <c r="D42" s="227"/>
      <c r="E42" s="226"/>
      <c r="F42" s="228"/>
      <c r="G42" s="228"/>
      <c r="H42" s="228"/>
    </row>
    <row r="43" customFormat="false" ht="17.4" hidden="false" customHeight="true" outlineLevel="0" collapsed="false">
      <c r="C43" s="229" t="s">
        <v>151</v>
      </c>
      <c r="D43" s="229"/>
      <c r="E43" s="229"/>
      <c r="F43" s="229"/>
      <c r="G43" s="230"/>
      <c r="H43" s="231"/>
    </row>
    <row r="44" customFormat="false" ht="31.2" hidden="false" customHeight="true" outlineLevel="0" collapsed="false">
      <c r="C44" s="232" t="s">
        <v>152</v>
      </c>
      <c r="D44" s="233" t="s">
        <v>148</v>
      </c>
      <c r="E44" s="233" t="s">
        <v>153</v>
      </c>
      <c r="F44" s="213" t="s">
        <v>154</v>
      </c>
      <c r="G44" s="234"/>
      <c r="H44" s="234"/>
    </row>
    <row r="45" customFormat="false" ht="22.05" hidden="false" customHeight="true" outlineLevel="0" collapsed="false">
      <c r="C45" s="235" t="n">
        <v>1</v>
      </c>
      <c r="D45" s="236" t="n">
        <f aca="false">D33</f>
        <v>188.097730337079</v>
      </c>
      <c r="E45" s="236" t="n">
        <f aca="false">D34</f>
        <v>895</v>
      </c>
      <c r="F45" s="237" t="n">
        <f aca="false">E45-D45</f>
        <v>706.902269662921</v>
      </c>
      <c r="G45" s="234"/>
      <c r="H45" s="234"/>
    </row>
    <row r="46" customFormat="false" ht="22.05" hidden="false" customHeight="true" outlineLevel="0" collapsed="false">
      <c r="C46" s="238" t="n">
        <v>2</v>
      </c>
      <c r="D46" s="239" t="n">
        <f aca="false">D33*2</f>
        <v>376.195460674157</v>
      </c>
      <c r="E46" s="239" t="n">
        <f aca="false">D34*2</f>
        <v>1790</v>
      </c>
      <c r="F46" s="237" t="n">
        <f aca="false">E46-D46</f>
        <v>1413.80453932584</v>
      </c>
      <c r="G46" s="234"/>
      <c r="H46" s="234"/>
    </row>
    <row r="47" customFormat="false" ht="22.05" hidden="false" customHeight="true" outlineLevel="0" collapsed="false">
      <c r="C47" s="240" t="n">
        <v>3</v>
      </c>
      <c r="D47" s="239" t="n">
        <f aca="false">D33*3</f>
        <v>564.293191011236</v>
      </c>
      <c r="E47" s="239" t="n">
        <f aca="false">D34*3</f>
        <v>2685</v>
      </c>
      <c r="F47" s="237" t="n">
        <f aca="false">E47-D47</f>
        <v>2120.70680898876</v>
      </c>
      <c r="G47" s="234"/>
      <c r="H47" s="234"/>
    </row>
    <row r="48" customFormat="false" ht="27.6" hidden="false" customHeight="true" outlineLevel="0" collapsed="false">
      <c r="C48" s="241"/>
      <c r="D48" s="242"/>
      <c r="E48" s="242"/>
      <c r="F48" s="242"/>
      <c r="G48" s="234"/>
      <c r="H48" s="234"/>
    </row>
    <row r="49" customFormat="false" ht="25.2" hidden="false" customHeight="true" outlineLevel="0" collapsed="false">
      <c r="C49" s="243" t="s">
        <v>155</v>
      </c>
      <c r="D49" s="243"/>
      <c r="E49" s="243"/>
      <c r="F49" s="243"/>
      <c r="G49" s="243"/>
      <c r="H49" s="234"/>
    </row>
    <row r="50" customFormat="false" ht="25.8" hidden="false" customHeight="true" outlineLevel="0" collapsed="false">
      <c r="C50" s="244" t="s">
        <v>156</v>
      </c>
      <c r="D50" s="245" t="s">
        <v>148</v>
      </c>
      <c r="E50" s="246" t="s">
        <v>157</v>
      </c>
      <c r="F50" s="245" t="s">
        <v>153</v>
      </c>
      <c r="G50" s="247" t="s">
        <v>154</v>
      </c>
      <c r="H50" s="234"/>
    </row>
    <row r="51" customFormat="false" ht="22.05" hidden="false" customHeight="true" outlineLevel="0" collapsed="false">
      <c r="C51" s="248" t="n">
        <v>1</v>
      </c>
      <c r="D51" s="249" t="n">
        <f aca="false">D45*4</f>
        <v>752.390921348315</v>
      </c>
      <c r="E51" s="250" t="n">
        <f aca="false">SUM(Donnees!C67:E77)</f>
        <v>13.6</v>
      </c>
      <c r="F51" s="249" t="n">
        <f aca="false">(E45*4)-E51</f>
        <v>3566.4</v>
      </c>
      <c r="G51" s="251" t="n">
        <f aca="false">F51-D51</f>
        <v>2814.00907865169</v>
      </c>
      <c r="H51" s="234"/>
    </row>
    <row r="52" customFormat="false" ht="22.05" hidden="false" customHeight="true" outlineLevel="0" collapsed="false">
      <c r="C52" s="252" t="n">
        <v>2</v>
      </c>
      <c r="D52" s="239" t="n">
        <f aca="false">D46*4</f>
        <v>1504.78184269663</v>
      </c>
      <c r="E52" s="250"/>
      <c r="F52" s="239" t="n">
        <f aca="false">(E46*4)-E51</f>
        <v>7146.4</v>
      </c>
      <c r="G52" s="253" t="n">
        <f aca="false">F52-D52</f>
        <v>5641.61815730337</v>
      </c>
      <c r="H52" s="234"/>
    </row>
    <row r="53" customFormat="false" ht="22.05" hidden="false" customHeight="true" outlineLevel="0" collapsed="false">
      <c r="C53" s="254" t="n">
        <v>3</v>
      </c>
      <c r="D53" s="255" t="n">
        <f aca="false">D47*4</f>
        <v>2257.17276404494</v>
      </c>
      <c r="E53" s="250"/>
      <c r="F53" s="255" t="n">
        <f aca="false">(E47*4)-E51</f>
        <v>10726.4</v>
      </c>
      <c r="G53" s="256" t="n">
        <f aca="false">F53-D53</f>
        <v>8469.22723595505</v>
      </c>
      <c r="H53" s="234"/>
    </row>
    <row r="54" customFormat="false" ht="18" hidden="false" customHeight="false" outlineLevel="0" collapsed="false">
      <c r="C54" s="257"/>
      <c r="D54" s="258"/>
      <c r="E54" s="258"/>
      <c r="F54" s="258"/>
      <c r="G54" s="258"/>
      <c r="H54" s="258"/>
    </row>
    <row r="55" customFormat="false" ht="27" hidden="false" customHeight="true" outlineLevel="0" collapsed="false">
      <c r="B55" s="259" t="s">
        <v>158</v>
      </c>
      <c r="C55" s="259"/>
      <c r="D55" s="259"/>
      <c r="E55" s="259"/>
      <c r="F55" s="259"/>
      <c r="G55" s="260"/>
      <c r="H55" s="260"/>
      <c r="I55" s="261"/>
    </row>
    <row r="56" s="2" customFormat="true" ht="63.6" hidden="false" customHeight="true" outlineLevel="0" collapsed="false">
      <c r="B56" s="262"/>
      <c r="C56" s="263" t="s">
        <v>159</v>
      </c>
      <c r="D56" s="264" t="str">
        <f aca="false">"1 Brassin par semaine / "&amp;C51*Donnees!C14&amp;" brassins par an"</f>
        <v>1 Brassin par semaine / 40 brassins par an</v>
      </c>
      <c r="E56" s="264" t="str">
        <f aca="false">"2 Brassin par semaine / "&amp;C52*Donnees!C14&amp;" brassins par an"</f>
        <v>2 Brassin par semaine / 80 brassins par an</v>
      </c>
      <c r="F56" s="265" t="str">
        <f aca="false">"3 Brassin par semaine / "&amp;C53*Donnees!C14&amp;" brassins par an"</f>
        <v>3 Brassin par semaine / 120 brassins par an</v>
      </c>
      <c r="G56" s="266"/>
      <c r="H56" s="266"/>
      <c r="I56" s="267"/>
    </row>
    <row r="57" s="268" customFormat="true" ht="21" hidden="false" customHeight="true" outlineLevel="0" collapsed="false">
      <c r="B57" s="269" t="s">
        <v>160</v>
      </c>
      <c r="C57" s="270" t="s">
        <v>161</v>
      </c>
      <c r="D57" s="204" t="n">
        <f aca="false">E45*Donnees!C14</f>
        <v>35800</v>
      </c>
      <c r="E57" s="204" t="n">
        <f aca="false">E46*Donnees!C14</f>
        <v>71600</v>
      </c>
      <c r="F57" s="158" t="n">
        <f aca="false">E47*Donnees!C14</f>
        <v>107400</v>
      </c>
      <c r="G57" s="271"/>
      <c r="H57" s="271"/>
      <c r="I57" s="272"/>
    </row>
    <row r="58" s="268" customFormat="true" ht="21" hidden="false" customHeight="true" outlineLevel="0" collapsed="false">
      <c r="B58" s="269"/>
      <c r="C58" s="273" t="s">
        <v>162</v>
      </c>
      <c r="D58" s="274" t="n">
        <f aca="false">D45*Donnees!C14</f>
        <v>7523.90921348315</v>
      </c>
      <c r="E58" s="274" t="n">
        <f aca="false">D46*Donnees!C14</f>
        <v>15047.8184269663</v>
      </c>
      <c r="F58" s="275" t="n">
        <f aca="false">D47*Donnees!C14</f>
        <v>22571.7276404494</v>
      </c>
      <c r="G58" s="276"/>
      <c r="H58" s="276"/>
      <c r="I58" s="277"/>
    </row>
    <row r="59" s="268" customFormat="true" ht="21" hidden="false" customHeight="true" outlineLevel="0" collapsed="false">
      <c r="B59" s="269"/>
      <c r="C59" s="278" t="s">
        <v>163</v>
      </c>
      <c r="D59" s="279" t="n">
        <f aca="false">F45*Donnees!C14</f>
        <v>28276.0907865168</v>
      </c>
      <c r="E59" s="279" t="n">
        <f aca="false">F46*Donnees!C14</f>
        <v>56552.1815730337</v>
      </c>
      <c r="F59" s="165" t="n">
        <f aca="false">F47*Donnees!C14</f>
        <v>84828.2723595506</v>
      </c>
      <c r="G59" s="271"/>
      <c r="H59" s="271"/>
      <c r="I59" s="277"/>
    </row>
    <row r="60" s="268" customFormat="true" ht="21" hidden="false" customHeight="true" outlineLevel="0" collapsed="false">
      <c r="B60" s="269"/>
      <c r="C60" s="273" t="s">
        <v>164</v>
      </c>
      <c r="D60" s="165" t="n">
        <f aca="false">E51*12</f>
        <v>163.2</v>
      </c>
      <c r="E60" s="165"/>
      <c r="F60" s="165"/>
      <c r="G60" s="280"/>
      <c r="H60" s="280"/>
      <c r="I60" s="277"/>
    </row>
    <row r="61" s="268" customFormat="true" ht="21" hidden="false" customHeight="true" outlineLevel="0" collapsed="false">
      <c r="B61" s="269"/>
      <c r="C61" s="273" t="s">
        <v>165</v>
      </c>
      <c r="D61" s="281" t="n">
        <f aca="false">(D59*Donnees!C85%)</f>
        <v>0</v>
      </c>
      <c r="E61" s="281" t="n">
        <f aca="false">(E59*Donnees!C85%)</f>
        <v>0</v>
      </c>
      <c r="F61" s="282" t="n">
        <f aca="false">(F59*Donnees!C85%)</f>
        <v>0</v>
      </c>
      <c r="G61" s="276"/>
      <c r="H61" s="276"/>
      <c r="I61" s="277"/>
    </row>
    <row r="62" s="268" customFormat="true" ht="21" hidden="false" customHeight="true" outlineLevel="0" collapsed="false">
      <c r="B62" s="269"/>
      <c r="C62" s="278" t="s">
        <v>166</v>
      </c>
      <c r="D62" s="279" t="n">
        <f aca="false">D57-D58-D61-D60</f>
        <v>28112.8907865169</v>
      </c>
      <c r="E62" s="279" t="n">
        <f aca="false">E57-E58-E61-D60</f>
        <v>56388.9815730337</v>
      </c>
      <c r="F62" s="165" t="n">
        <f aca="false">F57-F58-F61-D60</f>
        <v>84665.0723595506</v>
      </c>
      <c r="G62" s="271"/>
      <c r="H62" s="271"/>
      <c r="I62" s="277"/>
    </row>
    <row r="63" s="268" customFormat="true" ht="30" hidden="false" customHeight="true" outlineLevel="0" collapsed="false">
      <c r="B63" s="269"/>
      <c r="C63" s="283" t="s">
        <v>167</v>
      </c>
      <c r="D63" s="284" t="n">
        <f aca="false">D62/12</f>
        <v>2342.7408988764</v>
      </c>
      <c r="E63" s="284" t="n">
        <f aca="false">E62/12</f>
        <v>4699.08179775281</v>
      </c>
      <c r="F63" s="285" t="n">
        <f aca="false">F62/12</f>
        <v>7055.42269662922</v>
      </c>
      <c r="G63" s="286"/>
      <c r="H63" s="286"/>
      <c r="I63" s="277"/>
    </row>
    <row r="64" s="268" customFormat="true" ht="34.8" hidden="false" customHeight="true" outlineLevel="0" collapsed="false">
      <c r="B64" s="287" t="s">
        <v>168</v>
      </c>
      <c r="C64" s="287"/>
      <c r="D64" s="287"/>
      <c r="E64" s="287"/>
      <c r="F64" s="287"/>
      <c r="G64" s="288"/>
      <c r="H64" s="288"/>
      <c r="I64" s="277"/>
    </row>
    <row r="65" s="268" customFormat="true" ht="21" hidden="false" customHeight="true" outlineLevel="0" collapsed="false">
      <c r="B65" s="289" t="s">
        <v>169</v>
      </c>
      <c r="C65" s="290" t="s">
        <v>170</v>
      </c>
      <c r="D65" s="291" t="n">
        <f aca="false">IF(D62&gt;=38120,(38120*15%),(D62*15%))</f>
        <v>4216.93361797753</v>
      </c>
      <c r="E65" s="291" t="n">
        <f aca="false">IF(E62&gt;=38120,(38120*15%),(E62*15%))</f>
        <v>5718</v>
      </c>
      <c r="F65" s="292" t="n">
        <f aca="false">IF(F62&gt;=38120,(38120*15%),(F62*15%))</f>
        <v>5718</v>
      </c>
      <c r="G65" s="293"/>
      <c r="H65" s="293"/>
      <c r="I65" s="277"/>
    </row>
    <row r="66" s="268" customFormat="true" ht="66" hidden="false" customHeight="true" outlineLevel="0" collapsed="false">
      <c r="B66" s="289"/>
      <c r="C66" s="273" t="s">
        <v>171</v>
      </c>
      <c r="D66" s="274" t="n">
        <f aca="false">IF(D62&lt;38120,0,IF(D62&lt;75000,(D62-38120)*28%,(36880)*28%))</f>
        <v>0</v>
      </c>
      <c r="E66" s="294" t="n">
        <f aca="false">IF(E62&lt;38120,0,IF(E62&lt;75000,(E62-38120)*28%,(36880)*28%))</f>
        <v>5115.31484044944</v>
      </c>
      <c r="F66" s="275" t="n">
        <f aca="false">IF(F62&lt;38120,0,IF(F62&lt;75000,(F62-38120)*28%,(36880)*28%))</f>
        <v>10326.4</v>
      </c>
      <c r="G66" s="295"/>
      <c r="H66" s="296"/>
      <c r="I66" s="277"/>
    </row>
    <row r="67" s="2" customFormat="true" ht="21" hidden="false" customHeight="true" outlineLevel="0" collapsed="false">
      <c r="B67" s="289"/>
      <c r="C67" s="273" t="s">
        <v>172</v>
      </c>
      <c r="D67" s="297" t="n">
        <f aca="false">IF(D62&lt;75000,0,IF(D62&gt;75001,(D62-75001)*33.33%))</f>
        <v>0</v>
      </c>
      <c r="E67" s="297" t="n">
        <f aca="false">IF(E62&lt;75000,0,IF(E62&gt;75001,(E62-75001)*33.33%))</f>
        <v>0</v>
      </c>
      <c r="F67" s="298" t="n">
        <f aca="false">IF(F62&lt;75000,0,IF(F62&gt;75001,(F62-75001)*33.33%))</f>
        <v>3221.0353174382</v>
      </c>
      <c r="G67" s="293"/>
      <c r="H67" s="293"/>
      <c r="I67" s="299"/>
    </row>
    <row r="68" s="2" customFormat="true" ht="21" hidden="false" customHeight="true" outlineLevel="0" collapsed="false">
      <c r="B68" s="289"/>
      <c r="C68" s="300" t="s">
        <v>173</v>
      </c>
      <c r="D68" s="301" t="n">
        <f aca="false">SUM(D65:D67)</f>
        <v>4216.93361797753</v>
      </c>
      <c r="E68" s="301" t="n">
        <f aca="false">SUM(E65:E67)</f>
        <v>10833.3148404494</v>
      </c>
      <c r="F68" s="302" t="n">
        <f aca="false">SUM(F65:F67)</f>
        <v>19265.4353174382</v>
      </c>
      <c r="G68" s="303"/>
      <c r="H68" s="303"/>
      <c r="I68" s="299"/>
    </row>
    <row r="69" s="2" customFormat="true" ht="21" hidden="false" customHeight="true" outlineLevel="0" collapsed="false">
      <c r="B69" s="304" t="s">
        <v>174</v>
      </c>
      <c r="C69" s="305" t="s">
        <v>175</v>
      </c>
      <c r="D69" s="306" t="n">
        <f aca="false">D62-D68</f>
        <v>23895.9571685393</v>
      </c>
      <c r="E69" s="306" t="n">
        <f aca="false">E62-E68</f>
        <v>45555.6667325843</v>
      </c>
      <c r="F69" s="307" t="n">
        <f aca="false">F62-F68</f>
        <v>65399.6370421124</v>
      </c>
      <c r="G69" s="308"/>
      <c r="H69" s="308"/>
      <c r="I69" s="299"/>
    </row>
    <row r="70" customFormat="false" ht="24.6" hidden="false" customHeight="true" outlineLevel="0" collapsed="false">
      <c r="B70" s="304"/>
      <c r="C70" s="309" t="s">
        <v>176</v>
      </c>
      <c r="D70" s="310" t="n">
        <f aca="false">D69/12</f>
        <v>1991.32976404494</v>
      </c>
      <c r="E70" s="310" t="n">
        <f aca="false">E69/12</f>
        <v>3796.30556104869</v>
      </c>
      <c r="F70" s="311" t="n">
        <f aca="false">F69/12</f>
        <v>5449.96975350936</v>
      </c>
      <c r="G70" s="312"/>
      <c r="H70" s="312"/>
      <c r="I70" s="313"/>
    </row>
    <row r="71" customFormat="false" ht="34.8" hidden="false" customHeight="true" outlineLevel="0" collapsed="false">
      <c r="B71" s="314" t="s">
        <v>177</v>
      </c>
      <c r="C71" s="314"/>
      <c r="D71" s="314"/>
      <c r="E71" s="314"/>
      <c r="F71" s="314"/>
      <c r="G71" s="315"/>
      <c r="H71" s="315"/>
      <c r="I71" s="313"/>
    </row>
    <row r="72" customFormat="false" ht="27.6" hidden="false" customHeight="true" outlineLevel="0" collapsed="false">
      <c r="B72" s="316" t="s">
        <v>169</v>
      </c>
      <c r="C72" s="317" t="s">
        <v>178</v>
      </c>
      <c r="D72" s="318" t="n">
        <f aca="false">IF(D57&gt;82800,"IMPOSSIBLE",14.4*D57/100)</f>
        <v>5155.2</v>
      </c>
      <c r="E72" s="318" t="n">
        <f aca="false">IF(E57&gt;82800,"IMPOSSIBLE",14.4*E57/100)</f>
        <v>10310.4</v>
      </c>
      <c r="F72" s="319" t="str">
        <f aca="false">IF(F57&gt;82800,"IMPOSSIBLE",14.4*F57/100)</f>
        <v>IMPOSSIBLE</v>
      </c>
      <c r="G72" s="320"/>
      <c r="H72" s="320"/>
      <c r="I72" s="313"/>
    </row>
    <row r="73" customFormat="false" ht="22.95" hidden="false" customHeight="true" outlineLevel="0" collapsed="false">
      <c r="B73" s="321" t="s">
        <v>174</v>
      </c>
      <c r="C73" s="305" t="s">
        <v>175</v>
      </c>
      <c r="D73" s="322" t="n">
        <f aca="false">IF(D72="IMPOSSIBLE","IMPOSSIBLE",D62-D72)</f>
        <v>22957.6907865169</v>
      </c>
      <c r="E73" s="322" t="n">
        <f aca="false">IF(E72="IMPOSSIBLE","IMPOSSIBLE",E62-E72)</f>
        <v>46078.5815730337</v>
      </c>
      <c r="F73" s="323" t="str">
        <f aca="false">IF(F72="IMPOSSIBLE","IMPOSSIBLE",F62-F72)</f>
        <v>IMPOSSIBLE</v>
      </c>
      <c r="G73" s="324"/>
      <c r="H73" s="324"/>
      <c r="I73" s="313"/>
    </row>
    <row r="74" customFormat="false" ht="22.95" hidden="false" customHeight="true" outlineLevel="0" collapsed="false">
      <c r="B74" s="321"/>
      <c r="C74" s="309" t="s">
        <v>176</v>
      </c>
      <c r="D74" s="197" t="n">
        <f aca="false">IF(D72="IMPOSSIBLE","IMPOSSIBLE",D73/12)</f>
        <v>1913.1408988764</v>
      </c>
      <c r="E74" s="197" t="n">
        <f aca="false">IF(E72="IMPOSSIBLE","IMPOSSIBLE",E73/12)</f>
        <v>3839.88179775281</v>
      </c>
      <c r="F74" s="325" t="str">
        <f aca="false">IF(F72="IMPOSSIBLE","IMPOSSIBLE",F73/12)</f>
        <v>IMPOSSIBLE</v>
      </c>
      <c r="G74" s="324"/>
      <c r="H74" s="324"/>
      <c r="I74" s="313"/>
    </row>
    <row r="175" customFormat="false" ht="21" hidden="false" customHeight="false" outlineLevel="0" collapsed="false">
      <c r="C175" s="326"/>
      <c r="D175" s="326"/>
      <c r="E175" s="326"/>
      <c r="F175" s="326"/>
      <c r="G175" s="326"/>
      <c r="H175" s="326"/>
      <c r="I175" s="326"/>
    </row>
    <row r="213" customFormat="false" ht="72" hidden="false" customHeight="true" outlineLevel="0" collapsed="false">
      <c r="C213" s="327" t="s">
        <v>179</v>
      </c>
      <c r="D213" s="328" t="s">
        <v>180</v>
      </c>
      <c r="E213" s="329" t="s">
        <v>181</v>
      </c>
      <c r="F213" s="329" t="s">
        <v>182</v>
      </c>
      <c r="G213" s="329" t="s">
        <v>181</v>
      </c>
      <c r="H213" s="329" t="s">
        <v>183</v>
      </c>
      <c r="I213" s="329" t="s">
        <v>181</v>
      </c>
      <c r="J213" s="329" t="s">
        <v>184</v>
      </c>
      <c r="K213" s="329" t="s">
        <v>181</v>
      </c>
      <c r="L213" s="329" t="s">
        <v>185</v>
      </c>
      <c r="M213" s="329" t="s">
        <v>186</v>
      </c>
    </row>
    <row r="214" customFormat="false" ht="43.2" hidden="false" customHeight="false" outlineLevel="0" collapsed="false">
      <c r="C214" s="327"/>
      <c r="D214" s="328"/>
      <c r="E214" s="329"/>
      <c r="F214" s="329"/>
      <c r="G214" s="329"/>
      <c r="H214" s="329"/>
      <c r="I214" s="329"/>
      <c r="J214" s="329"/>
      <c r="K214" s="329"/>
      <c r="L214" s="329"/>
      <c r="M214" s="329" t="s">
        <v>181</v>
      </c>
    </row>
    <row r="215" customFormat="false" ht="15.6" hidden="false" customHeight="false" outlineLevel="0" collapsed="false">
      <c r="C215" s="330" t="n">
        <v>0.7</v>
      </c>
      <c r="D215" s="279" t="str">
        <f aca="false">D221*C215&amp;" (-30%)"</f>
        <v>1,75 (-30%)</v>
      </c>
      <c r="E215" s="331" t="n">
        <f aca="false">'Projections Recette 1'!D59*C215</f>
        <v>19793.2635505618</v>
      </c>
      <c r="F215" s="331" t="n">
        <f aca="false">E215-E221</f>
        <v>-8482.82723595506</v>
      </c>
      <c r="G215" s="331" t="n">
        <f aca="false">'Projections Recette 1'!E62*C215</f>
        <v>39472.2871011236</v>
      </c>
      <c r="H215" s="331" t="n">
        <f aca="false">G215-G221</f>
        <v>-16916.6944719101</v>
      </c>
      <c r="I215" s="331" t="n">
        <f aca="false">'Projections Recette 1'!F62*C215</f>
        <v>59265.5506516854</v>
      </c>
      <c r="J215" s="331" t="n">
        <f aca="false">I215-I221</f>
        <v>-25399.5217078652</v>
      </c>
      <c r="K215" s="331" t="n">
        <f aca="false">'Projections Recette 1'!G62*C215</f>
        <v>0</v>
      </c>
      <c r="L215" s="331" t="n">
        <f aca="false">K215-K221</f>
        <v>0</v>
      </c>
      <c r="M215" s="331" t="n">
        <f aca="false">'Projections Recette 1'!H62*C215</f>
        <v>0</v>
      </c>
    </row>
    <row r="216" customFormat="false" ht="15.6" hidden="false" customHeight="false" outlineLevel="0" collapsed="false">
      <c r="C216" s="330" t="n">
        <v>0.75</v>
      </c>
      <c r="D216" s="279" t="str">
        <f aca="false">D221*C216&amp;" (-25%)"</f>
        <v>1,875 (-25%)</v>
      </c>
      <c r="E216" s="331" t="n">
        <f aca="false">'Projections Recette 1'!D59*C216</f>
        <v>21207.0680898876</v>
      </c>
      <c r="F216" s="331" t="n">
        <f aca="false">E216-E221</f>
        <v>-7069.02269662921</v>
      </c>
      <c r="G216" s="331" t="n">
        <f aca="false">'Projections Recette 1'!E62*C216</f>
        <v>42291.7361797753</v>
      </c>
      <c r="H216" s="331" t="n">
        <f aca="false">G216-G221</f>
        <v>-14097.2453932584</v>
      </c>
      <c r="I216" s="331" t="n">
        <f aca="false">'Projections Recette 1'!F62*C216</f>
        <v>63498.8042696629</v>
      </c>
      <c r="J216" s="331" t="n">
        <f aca="false">I216-I221</f>
        <v>-21166.2680898876</v>
      </c>
      <c r="K216" s="331" t="n">
        <f aca="false">'Projections Recette 1'!G62*C216</f>
        <v>0</v>
      </c>
      <c r="L216" s="331" t="n">
        <f aca="false">K216-K221</f>
        <v>0</v>
      </c>
      <c r="M216" s="331" t="n">
        <f aca="false">'Projections Recette 1'!H62*C216</f>
        <v>0</v>
      </c>
    </row>
    <row r="217" customFormat="false" ht="15.6" hidden="false" customHeight="false" outlineLevel="0" collapsed="false">
      <c r="C217" s="330" t="n">
        <v>0.8</v>
      </c>
      <c r="D217" s="279" t="str">
        <f aca="false">D221*C217&amp;" (-20%)"</f>
        <v>2 (-20%)</v>
      </c>
      <c r="E217" s="331" t="n">
        <f aca="false">'Projections Recette 1'!D59*C217</f>
        <v>22620.8726292135</v>
      </c>
      <c r="F217" s="331" t="n">
        <f aca="false">E217-E221</f>
        <v>-5655.21815730337</v>
      </c>
      <c r="G217" s="331" t="n">
        <f aca="false">'Projections Recette 1'!E62*C217</f>
        <v>45111.185258427</v>
      </c>
      <c r="H217" s="331" t="n">
        <f aca="false">G217-G221</f>
        <v>-11277.7963146067</v>
      </c>
      <c r="I217" s="331" t="n">
        <f aca="false">'Projections Recette 1'!F62*C217</f>
        <v>67732.0578876405</v>
      </c>
      <c r="J217" s="331" t="n">
        <f aca="false">I217-I221</f>
        <v>-16933.0144719101</v>
      </c>
      <c r="K217" s="331" t="n">
        <f aca="false">'Projections Recette 1'!G62*C217</f>
        <v>0</v>
      </c>
      <c r="L217" s="331" t="n">
        <f aca="false">K217-K221</f>
        <v>0</v>
      </c>
      <c r="M217" s="331" t="n">
        <f aca="false">'Projections Recette 1'!H62*C217</f>
        <v>0</v>
      </c>
    </row>
    <row r="218" customFormat="false" ht="15.6" hidden="false" customHeight="false" outlineLevel="0" collapsed="false">
      <c r="C218" s="330" t="n">
        <v>0.85</v>
      </c>
      <c r="D218" s="279" t="str">
        <f aca="false">D221*C218&amp;" (-15%)"</f>
        <v>2,125 (-15%)</v>
      </c>
      <c r="E218" s="331" t="n">
        <f aca="false">'Projections Recette 1'!D59*C218</f>
        <v>24034.6771685393</v>
      </c>
      <c r="F218" s="331" t="n">
        <f aca="false">E218-E221</f>
        <v>-4241.41361797753</v>
      </c>
      <c r="G218" s="331" t="n">
        <f aca="false">'Projections Recette 1'!E62*C218</f>
        <v>47930.6343370787</v>
      </c>
      <c r="H218" s="331" t="n">
        <f aca="false">G218-G221</f>
        <v>-8458.34723595506</v>
      </c>
      <c r="I218" s="331" t="n">
        <f aca="false">'Projections Recette 1'!F62*C218</f>
        <v>71965.311505618</v>
      </c>
      <c r="J218" s="331" t="n">
        <f aca="false">I218-I221</f>
        <v>-12699.7608539326</v>
      </c>
      <c r="K218" s="331" t="n">
        <f aca="false">'Projections Recette 1'!G62*C218</f>
        <v>0</v>
      </c>
      <c r="L218" s="331" t="n">
        <f aca="false">K218-K221</f>
        <v>0</v>
      </c>
      <c r="M218" s="331" t="n">
        <f aca="false">'Projections Recette 1'!H62*C218</f>
        <v>0</v>
      </c>
    </row>
    <row r="219" customFormat="false" ht="15.6" hidden="false" customHeight="false" outlineLevel="0" collapsed="false">
      <c r="C219" s="330" t="n">
        <v>0.9</v>
      </c>
      <c r="D219" s="279" t="str">
        <f aca="false">D221*C219&amp;" (-10%)"</f>
        <v>2,25 (-10%)</v>
      </c>
      <c r="E219" s="331" t="n">
        <f aca="false">'Projections Recette 1'!D59*C219</f>
        <v>25448.4817078652</v>
      </c>
      <c r="F219" s="331" t="n">
        <f aca="false">E219-E221</f>
        <v>-2827.60907865168</v>
      </c>
      <c r="G219" s="331" t="n">
        <f aca="false">'Projections Recette 1'!E62*C219</f>
        <v>50750.0834157303</v>
      </c>
      <c r="H219" s="331" t="n">
        <f aca="false">G219-G221</f>
        <v>-5638.89815730337</v>
      </c>
      <c r="I219" s="331" t="n">
        <f aca="false">'Projections Recette 1'!F62*C219</f>
        <v>76198.5651235955</v>
      </c>
      <c r="J219" s="331" t="n">
        <f aca="false">I219-I221</f>
        <v>-8466.50723595505</v>
      </c>
      <c r="K219" s="331" t="n">
        <f aca="false">'Projections Recette 1'!G62*C219</f>
        <v>0</v>
      </c>
      <c r="L219" s="331" t="n">
        <f aca="false">K219-K221</f>
        <v>0</v>
      </c>
      <c r="M219" s="331" t="n">
        <f aca="false">'Projections Recette 1'!H62*C219</f>
        <v>0</v>
      </c>
    </row>
    <row r="220" customFormat="false" ht="15.6" hidden="false" customHeight="false" outlineLevel="0" collapsed="false">
      <c r="C220" s="330" t="n">
        <v>0.95</v>
      </c>
      <c r="D220" s="279" t="str">
        <f aca="false">D221*C220&amp;" (-5%)"</f>
        <v>2,375 (-5%)</v>
      </c>
      <c r="E220" s="331" t="n">
        <f aca="false">'Projections Recette 1'!D59*C220</f>
        <v>26862.286247191</v>
      </c>
      <c r="F220" s="331" t="n">
        <f aca="false">E220-E221</f>
        <v>-1413.80453932584</v>
      </c>
      <c r="G220" s="331" t="n">
        <f aca="false">'Projections Recette 1'!E62*C220</f>
        <v>53569.532494382</v>
      </c>
      <c r="H220" s="331" t="n">
        <f aca="false">G220-G221</f>
        <v>-2819.44907865169</v>
      </c>
      <c r="I220" s="331" t="n">
        <f aca="false">'Projections Recette 1'!F62*C220</f>
        <v>80431.818741573</v>
      </c>
      <c r="J220" s="331" t="n">
        <f aca="false">I220-I221</f>
        <v>-4233.25361797753</v>
      </c>
      <c r="K220" s="331" t="n">
        <f aca="false">'Projections Recette 1'!G62*C220</f>
        <v>0</v>
      </c>
      <c r="L220" s="331" t="n">
        <f aca="false">K220-K221</f>
        <v>0</v>
      </c>
      <c r="M220" s="331" t="n">
        <f aca="false">'Projections Recette 1'!H62*C220</f>
        <v>0</v>
      </c>
    </row>
    <row r="221" customFormat="false" ht="15.6" hidden="false" customHeight="false" outlineLevel="0" collapsed="false">
      <c r="C221" s="332" t="n">
        <v>1</v>
      </c>
      <c r="D221" s="333" t="n">
        <f aca="false">Donnees!C47</f>
        <v>2.5</v>
      </c>
      <c r="E221" s="334" t="n">
        <f aca="false">'Projections Recette 1'!D59*C221</f>
        <v>28276.0907865168</v>
      </c>
      <c r="F221" s="334" t="n">
        <f aca="false">E221-E221</f>
        <v>0</v>
      </c>
      <c r="G221" s="334" t="n">
        <f aca="false">'Projections Recette 1'!E62*C221</f>
        <v>56388.9815730337</v>
      </c>
      <c r="H221" s="334" t="n">
        <f aca="false">G221-G221</f>
        <v>0</v>
      </c>
      <c r="I221" s="334" t="n">
        <f aca="false">'Projections Recette 1'!F62*C221</f>
        <v>84665.0723595506</v>
      </c>
      <c r="J221" s="335" t="n">
        <f aca="false">I221-I221</f>
        <v>0</v>
      </c>
      <c r="K221" s="334" t="n">
        <f aca="false">'Projections Recette 1'!G62*C221</f>
        <v>0</v>
      </c>
      <c r="L221" s="335" t="n">
        <f aca="false">K221-K221</f>
        <v>0</v>
      </c>
      <c r="M221" s="334" t="n">
        <f aca="false">'Projections Recette 1'!H62*C221</f>
        <v>0</v>
      </c>
    </row>
    <row r="222" customFormat="false" ht="15.6" hidden="false" customHeight="false" outlineLevel="0" collapsed="false">
      <c r="C222" s="330" t="n">
        <v>1.05</v>
      </c>
      <c r="D222" s="279" t="str">
        <f aca="false">D221*C222&amp;" (+5%)"</f>
        <v>2,625 (+5%)</v>
      </c>
      <c r="E222" s="331" t="n">
        <f aca="false">'Projections Recette 1'!D59*C222</f>
        <v>29689.8953258427</v>
      </c>
      <c r="F222" s="331" t="n">
        <f aca="false">E222-E221</f>
        <v>1413.80453932584</v>
      </c>
      <c r="G222" s="331" t="n">
        <f aca="false">'Projections Recette 1'!E62*C222</f>
        <v>59208.4306516854</v>
      </c>
      <c r="H222" s="331" t="n">
        <f aca="false">G222-G221</f>
        <v>2819.44907865169</v>
      </c>
      <c r="I222" s="331" t="n">
        <f aca="false">'Projections Recette 1'!F62*C222</f>
        <v>88898.3259775281</v>
      </c>
      <c r="J222" s="331" t="n">
        <f aca="false">I222-I221</f>
        <v>4233.25361797753</v>
      </c>
      <c r="K222" s="331" t="n">
        <f aca="false">'Projections Recette 1'!G62*C222</f>
        <v>0</v>
      </c>
      <c r="L222" s="331" t="n">
        <f aca="false">K222-K221</f>
        <v>0</v>
      </c>
      <c r="M222" s="331" t="n">
        <f aca="false">'Projections Recette 1'!H62*C222</f>
        <v>0</v>
      </c>
    </row>
    <row r="223" customFormat="false" ht="15.6" hidden="false" customHeight="false" outlineLevel="0" collapsed="false">
      <c r="C223" s="330" t="n">
        <v>1.1</v>
      </c>
      <c r="D223" s="279" t="str">
        <f aca="false">D221*C223&amp;" (+10%)"</f>
        <v>2,75 (+10%)</v>
      </c>
      <c r="E223" s="331" t="n">
        <f aca="false">'Projections Recette 1'!D59*C223</f>
        <v>31103.6998651685</v>
      </c>
      <c r="F223" s="331" t="n">
        <f aca="false">E223-E221</f>
        <v>2827.60907865169</v>
      </c>
      <c r="G223" s="331" t="n">
        <f aca="false">'Projections Recette 1'!E62*C223</f>
        <v>62027.8797303371</v>
      </c>
      <c r="H223" s="331" t="n">
        <f aca="false">G223-G221</f>
        <v>5638.89815730337</v>
      </c>
      <c r="I223" s="331" t="n">
        <f aca="false">'Projections Recette 1'!F62*C223</f>
        <v>93131.5795955056</v>
      </c>
      <c r="J223" s="331" t="n">
        <f aca="false">I223-I221</f>
        <v>8466.50723595507</v>
      </c>
      <c r="K223" s="331" t="n">
        <f aca="false">'Projections Recette 1'!G62*C223</f>
        <v>0</v>
      </c>
      <c r="L223" s="331" t="n">
        <f aca="false">K223-K221</f>
        <v>0</v>
      </c>
      <c r="M223" s="331" t="n">
        <f aca="false">'Projections Recette 1'!H62*C223</f>
        <v>0</v>
      </c>
    </row>
    <row r="224" customFormat="false" ht="15.6" hidden="false" customHeight="false" outlineLevel="0" collapsed="false">
      <c r="C224" s="330" t="n">
        <v>1.15</v>
      </c>
      <c r="D224" s="279" t="str">
        <f aca="false">D221*C224&amp;" (+15%)"</f>
        <v>2,875 (+15%)</v>
      </c>
      <c r="E224" s="331" t="n">
        <f aca="false">'Projections Recette 1'!D59*C224</f>
        <v>32517.5044044944</v>
      </c>
      <c r="F224" s="331" t="n">
        <f aca="false">E224-E221</f>
        <v>4241.41361797753</v>
      </c>
      <c r="G224" s="331" t="n">
        <f aca="false">'Projections Recette 1'!E62*C224</f>
        <v>64847.3288089888</v>
      </c>
      <c r="H224" s="331" t="n">
        <f aca="false">G224-G221</f>
        <v>8458.34723595505</v>
      </c>
      <c r="I224" s="331" t="n">
        <f aca="false">'Projections Recette 1'!F62*C224</f>
        <v>97364.8332134832</v>
      </c>
      <c r="J224" s="331" t="n">
        <f aca="false">I224-I221</f>
        <v>12699.7608539326</v>
      </c>
      <c r="K224" s="331" t="n">
        <f aca="false">'Projections Recette 1'!G62*C224</f>
        <v>0</v>
      </c>
      <c r="L224" s="331" t="n">
        <f aca="false">K224-K221</f>
        <v>0</v>
      </c>
      <c r="M224" s="331" t="n">
        <f aca="false">'Projections Recette 1'!H62*C224</f>
        <v>0</v>
      </c>
    </row>
    <row r="225" customFormat="false" ht="15.6" hidden="false" customHeight="false" outlineLevel="0" collapsed="false">
      <c r="C225" s="330" t="n">
        <v>1.2</v>
      </c>
      <c r="D225" s="279" t="str">
        <f aca="false">D221*C225&amp;" (+20%)"</f>
        <v>3 (+20%)</v>
      </c>
      <c r="E225" s="331" t="n">
        <f aca="false">'Projections Recette 1'!D59*C225</f>
        <v>33931.3089438202</v>
      </c>
      <c r="F225" s="331" t="n">
        <f aca="false">E225-E221</f>
        <v>5655.21815730337</v>
      </c>
      <c r="G225" s="331" t="n">
        <f aca="false">'Projections Recette 1'!E62*C225</f>
        <v>67666.7778876405</v>
      </c>
      <c r="H225" s="331" t="n">
        <f aca="false">G225-G221</f>
        <v>11277.7963146067</v>
      </c>
      <c r="I225" s="331" t="n">
        <f aca="false">'Projections Recette 1'!F62*C225</f>
        <v>101598.086831461</v>
      </c>
      <c r="J225" s="331" t="n">
        <f aca="false">I225-I221</f>
        <v>16933.0144719101</v>
      </c>
      <c r="K225" s="331" t="n">
        <f aca="false">'Projections Recette 1'!G62*C225</f>
        <v>0</v>
      </c>
      <c r="L225" s="331" t="n">
        <f aca="false">K225-K221</f>
        <v>0</v>
      </c>
      <c r="M225" s="331" t="n">
        <f aca="false">'Projections Recette 1'!H62*C225</f>
        <v>0</v>
      </c>
    </row>
    <row r="226" customFormat="false" ht="15.6" hidden="false" customHeight="false" outlineLevel="0" collapsed="false">
      <c r="C226" s="330" t="n">
        <v>1.25</v>
      </c>
      <c r="D226" s="279" t="str">
        <f aca="false">D221*C226&amp;" (+25%)"</f>
        <v>3,125 (+25%)</v>
      </c>
      <c r="E226" s="331" t="n">
        <f aca="false">'Projections Recette 1'!D59*C226</f>
        <v>35345.1134831461</v>
      </c>
      <c r="F226" s="331" t="n">
        <f aca="false">E226-E221</f>
        <v>7069.02269662921</v>
      </c>
      <c r="G226" s="331" t="n">
        <f aca="false">'Projections Recette 1'!E62*C226</f>
        <v>70486.2269662922</v>
      </c>
      <c r="H226" s="331" t="n">
        <f aca="false">G226-G221</f>
        <v>14097.2453932584</v>
      </c>
      <c r="I226" s="331" t="n">
        <f aca="false">'Projections Recette 1'!F62*C226</f>
        <v>105831.340449438</v>
      </c>
      <c r="J226" s="331" t="n">
        <f aca="false">I226-I221</f>
        <v>21166.2680898876</v>
      </c>
      <c r="K226" s="331" t="n">
        <f aca="false">'Projections Recette 1'!G62*C226</f>
        <v>0</v>
      </c>
      <c r="L226" s="331" t="n">
        <f aca="false">K226-K221</f>
        <v>0</v>
      </c>
      <c r="M226" s="331" t="n">
        <f aca="false">'Projections Recette 1'!H62*C226</f>
        <v>0</v>
      </c>
    </row>
    <row r="227" customFormat="false" ht="15.6" hidden="false" customHeight="false" outlineLevel="0" collapsed="false">
      <c r="C227" s="330" t="n">
        <v>1.3</v>
      </c>
      <c r="D227" s="279" t="str">
        <f aca="false">D221*C227&amp;" (+30%)"</f>
        <v>3,25 (+30%)</v>
      </c>
      <c r="E227" s="331" t="n">
        <f aca="false">'Projections Recette 1'!D59*C227</f>
        <v>36758.9180224719</v>
      </c>
      <c r="F227" s="331" t="n">
        <f aca="false">E227-E221</f>
        <v>8482.82723595506</v>
      </c>
      <c r="G227" s="331" t="n">
        <f aca="false">'Projections Recette 1'!E62*C227</f>
        <v>73305.6760449438</v>
      </c>
      <c r="H227" s="331" t="n">
        <f aca="false">G227-G221</f>
        <v>16916.6944719101</v>
      </c>
      <c r="I227" s="331" t="n">
        <f aca="false">'Projections Recette 1'!F62*C227</f>
        <v>110064.594067416</v>
      </c>
      <c r="J227" s="331" t="n">
        <f aca="false">I227-I221</f>
        <v>25399.5217078652</v>
      </c>
      <c r="K227" s="331" t="n">
        <f aca="false">'Projections Recette 1'!G62*C227</f>
        <v>0</v>
      </c>
      <c r="L227" s="331" t="n">
        <f aca="false">K227-K221</f>
        <v>0</v>
      </c>
      <c r="M227" s="331" t="n">
        <f aca="false">'Projections Recette 1'!H62*C227</f>
        <v>0</v>
      </c>
    </row>
  </sheetData>
  <sheetProtection algorithmName="SHA-512" hashValue="8JH7nMCeCtL4IWOOK/Aw85niD/a5dLll1gkQGcqpMiP8OO6UJx3ONuXI8RnoE8+Lw44e0gZKdQJBc4ujucxTLw==" saltValue="Z8EhOpSJG1TBFAqsxYuj+Q==" spinCount="100000" sheet="true" objects="true" scenarios="true"/>
  <mergeCells count="50">
    <mergeCell ref="A1:J1"/>
    <mergeCell ref="B3:I3"/>
    <mergeCell ref="B4:C4"/>
    <mergeCell ref="B5:B8"/>
    <mergeCell ref="H5:H8"/>
    <mergeCell ref="I5:I8"/>
    <mergeCell ref="B9:B12"/>
    <mergeCell ref="H9:H12"/>
    <mergeCell ref="I9:I12"/>
    <mergeCell ref="B13:B22"/>
    <mergeCell ref="H13:H22"/>
    <mergeCell ref="I13:I22"/>
    <mergeCell ref="B23:B27"/>
    <mergeCell ref="H23:H27"/>
    <mergeCell ref="I23:I27"/>
    <mergeCell ref="J30:J33"/>
    <mergeCell ref="C32:D32"/>
    <mergeCell ref="E32:F32"/>
    <mergeCell ref="E33:F33"/>
    <mergeCell ref="E34:F34"/>
    <mergeCell ref="J34:J35"/>
    <mergeCell ref="E35:F35"/>
    <mergeCell ref="E36:F36"/>
    <mergeCell ref="E37:F37"/>
    <mergeCell ref="E38:F38"/>
    <mergeCell ref="E39:F39"/>
    <mergeCell ref="E40:F40"/>
    <mergeCell ref="E41:F41"/>
    <mergeCell ref="C43:F43"/>
    <mergeCell ref="C49:G49"/>
    <mergeCell ref="E51:E53"/>
    <mergeCell ref="B55:F55"/>
    <mergeCell ref="B57:B63"/>
    <mergeCell ref="D60:F60"/>
    <mergeCell ref="B64:F64"/>
    <mergeCell ref="B65:B68"/>
    <mergeCell ref="B69:B70"/>
    <mergeCell ref="B71:F71"/>
    <mergeCell ref="B73:B74"/>
    <mergeCell ref="C175:I175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</mergeCells>
  <conditionalFormatting sqref="I5:I27 G5:G27">
    <cfRule type="cellIs" priority="2" operator="between" aboveAverage="0" equalAverage="0" bottom="0" percent="0" rank="0" text="" dxfId="0">
      <formula>5</formula>
      <formula>15</formula>
    </cfRule>
    <cfRule type="cellIs" priority="3" operator="greaterThan" aboveAverage="0" equalAverage="0" bottom="0" percent="0" rank="0" text="" dxfId="1">
      <formula>15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8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C70" activeCellId="0" sqref="C70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4.55"/>
    <col collapsed="false" customWidth="true" hidden="false" outlineLevel="0" max="3" min="3" style="0" width="44.22"/>
    <col collapsed="false" customWidth="true" hidden="false" outlineLevel="0" max="4" min="4" style="0" width="22.66"/>
    <col collapsed="false" customWidth="true" hidden="false" outlineLevel="0" max="5" min="5" style="0" width="18.89"/>
    <col collapsed="false" customWidth="true" hidden="false" outlineLevel="0" max="6" min="6" style="0" width="20.89"/>
    <col collapsed="false" customWidth="true" hidden="false" outlineLevel="0" max="7" min="7" style="0" width="19.89"/>
    <col collapsed="false" customWidth="true" hidden="false" outlineLevel="0" max="8" min="8" style="0" width="21.66"/>
    <col collapsed="false" customWidth="true" hidden="false" outlineLevel="0" max="9" min="9" style="0" width="20.11"/>
    <col collapsed="false" customWidth="true" hidden="false" outlineLevel="0" max="10" min="10" style="0" width="14.01"/>
    <col collapsed="false" customWidth="true" hidden="false" outlineLevel="0" max="11" min="11" style="0" width="16"/>
    <col collapsed="false" customWidth="true" hidden="false" outlineLevel="0" max="12" min="12" style="0" width="16.33"/>
    <col collapsed="false" customWidth="true" hidden="false" outlineLevel="0" max="13" min="13" style="0" width="9.78"/>
    <col collapsed="false" customWidth="true" hidden="false" outlineLevel="0" max="14" min="14" style="0" width="20.78"/>
  </cols>
  <sheetData>
    <row r="1" customFormat="false" ht="24" hidden="false" customHeight="true" outlineLevel="0" collapsed="false">
      <c r="A1" s="144" t="str">
        <f aca="false">"Projections recette "&amp;Donnees!D6</f>
        <v>Projections recette La brune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customFormat="false" ht="48.6" hidden="false" customHeight="true" outlineLevel="0" collapsed="false">
      <c r="C2" s="145"/>
      <c r="D2" s="145"/>
      <c r="E2" s="145"/>
      <c r="F2" s="145"/>
      <c r="G2" s="146" t="s">
        <v>124</v>
      </c>
      <c r="H2" s="145"/>
    </row>
    <row r="3" customFormat="false" ht="27.6" hidden="false" customHeight="true" outlineLevel="0" collapsed="false">
      <c r="B3" s="147" t="s">
        <v>125</v>
      </c>
      <c r="C3" s="147"/>
      <c r="D3" s="147"/>
      <c r="E3" s="147"/>
      <c r="F3" s="147"/>
      <c r="G3" s="147"/>
      <c r="H3" s="147"/>
      <c r="I3" s="147"/>
    </row>
    <row r="4" customFormat="false" ht="35.4" hidden="false" customHeight="true" outlineLevel="0" collapsed="false">
      <c r="B4" s="148" t="s">
        <v>126</v>
      </c>
      <c r="C4" s="148"/>
      <c r="D4" s="336" t="s">
        <v>127</v>
      </c>
      <c r="E4" s="337" t="s">
        <v>128</v>
      </c>
      <c r="F4" s="337" t="s">
        <v>129</v>
      </c>
      <c r="G4" s="338" t="s">
        <v>130</v>
      </c>
      <c r="H4" s="148" t="s">
        <v>131</v>
      </c>
      <c r="I4" s="148" t="s">
        <v>132</v>
      </c>
    </row>
    <row r="5" customFormat="false" ht="23.4" hidden="false" customHeight="true" outlineLevel="0" collapsed="false">
      <c r="B5" s="339" t="s">
        <v>65</v>
      </c>
      <c r="C5" s="340" t="str">
        <f aca="false">"Bouteilles contenance "&amp;Donnees!D42&amp;" cl"</f>
        <v>Bouteilles contenance 0.33 cl</v>
      </c>
      <c r="D5" s="155" t="n">
        <f aca="false">Donnees!D44</f>
        <v>0.2</v>
      </c>
      <c r="E5" s="156" t="n">
        <f aca="false">ROUNDDOWN(((Donnees!D43*Donnees!D10)/100)/Donnees!D42,0)*((100-Donnees!D48)/100)</f>
        <v>523</v>
      </c>
      <c r="F5" s="157" t="n">
        <f aca="false">(D5*E5)</f>
        <v>104.6</v>
      </c>
      <c r="G5" s="158" t="n">
        <f aca="false">(F5*100)/D33</f>
        <v>14.7810030635564</v>
      </c>
      <c r="H5" s="159" t="n">
        <f aca="false">SUM(F5:F8)</f>
        <v>148.619166666667</v>
      </c>
      <c r="I5" s="160" t="n">
        <f aca="false">SUM(G5:G8)</f>
        <v>21.001341852803</v>
      </c>
    </row>
    <row r="6" customFormat="false" ht="21.6" hidden="false" customHeight="true" outlineLevel="0" collapsed="false">
      <c r="B6" s="339"/>
      <c r="C6" s="161" t="str">
        <f aca="false">"Etiquettes bouteilles contenance "&amp;Donnees!D42&amp;" cl"</f>
        <v>Etiquettes bouteilles contenance 0.33 cl</v>
      </c>
      <c r="D6" s="162" t="n">
        <f aca="false">Donnees!D45</f>
        <v>0.04</v>
      </c>
      <c r="E6" s="163" t="n">
        <f aca="false">ROUNDDOWN(((Donnees!D43*Donnees!D10)/100)/Donnees!D42,0)</f>
        <v>523</v>
      </c>
      <c r="F6" s="164" t="n">
        <f aca="false">(D6*E6)</f>
        <v>20.92</v>
      </c>
      <c r="G6" s="165" t="n">
        <f aca="false">(F6*100)/D33</f>
        <v>2.95620061271127</v>
      </c>
      <c r="H6" s="159"/>
      <c r="I6" s="160"/>
    </row>
    <row r="7" customFormat="false" ht="21.6" hidden="false" customHeight="true" outlineLevel="0" collapsed="false">
      <c r="B7" s="339"/>
      <c r="C7" s="161" t="str">
        <f aca="false">"Capsules bouteilles contenance "&amp;Donnees!D42&amp;" cl"</f>
        <v>Capsules bouteilles contenance 0.33 cl</v>
      </c>
      <c r="D7" s="162" t="n">
        <f aca="false">Donnees!D46</f>
        <v>0.04</v>
      </c>
      <c r="E7" s="163" t="n">
        <f aca="false">ROUNDDOWN(((Donnees!D43*Donnees!D10)/100)/Donnees!D42,0)</f>
        <v>523</v>
      </c>
      <c r="F7" s="164" t="n">
        <f aca="false">D7*E7</f>
        <v>20.92</v>
      </c>
      <c r="G7" s="165" t="n">
        <f aca="false">(F7*100)/D33</f>
        <v>2.95620061271127</v>
      </c>
      <c r="H7" s="159"/>
      <c r="I7" s="160"/>
    </row>
    <row r="8" customFormat="false" ht="21" hidden="false" customHeight="true" outlineLevel="0" collapsed="false">
      <c r="B8" s="339"/>
      <c r="C8" s="166" t="s">
        <v>133</v>
      </c>
      <c r="D8" s="167" t="n">
        <f aca="false">Donnees!D49</f>
        <v>0.1</v>
      </c>
      <c r="E8" s="168" t="n">
        <f aca="false">E7/Donnees!D50</f>
        <v>21.7916666666667</v>
      </c>
      <c r="F8" s="169" t="n">
        <f aca="false">E8*D8</f>
        <v>2.17916666666667</v>
      </c>
      <c r="G8" s="170" t="n">
        <f aca="false">(F8*100)/D33</f>
        <v>0.307937563824091</v>
      </c>
      <c r="H8" s="159"/>
      <c r="I8" s="160"/>
    </row>
    <row r="9" customFormat="false" ht="25.2" hidden="false" customHeight="true" outlineLevel="0" collapsed="false">
      <c r="B9" s="171" t="s">
        <v>81</v>
      </c>
      <c r="C9" s="172" t="str">
        <f aca="false">"Bouteilles contenance "&amp;Donnees!D51&amp;" cl"</f>
        <v>Bouteilles contenance 0.75 cl</v>
      </c>
      <c r="D9" s="155" t="n">
        <f aca="false">Donnees!D53</f>
        <v>0.4</v>
      </c>
      <c r="E9" s="173" t="n">
        <f aca="false">ROUNDDOWN(((Donnees!D52*Donnees!D10)/100)/Donnees!D51,0)*((100-Donnees!D57)/100)</f>
        <v>153</v>
      </c>
      <c r="F9" s="157" t="n">
        <f aca="false">E9*D9</f>
        <v>61.2</v>
      </c>
      <c r="G9" s="158" t="n">
        <f aca="false">(F9*100)/D33</f>
        <v>8.64815858020697</v>
      </c>
      <c r="H9" s="159" t="n">
        <f aca="false">SUM(F9:F12)</f>
        <v>81.09</v>
      </c>
      <c r="I9" s="160" t="n">
        <f aca="false">SUM(G9:G12)</f>
        <v>11.4588101187742</v>
      </c>
    </row>
    <row r="10" customFormat="false" ht="21" hidden="false" customHeight="true" outlineLevel="0" collapsed="false">
      <c r="B10" s="171"/>
      <c r="C10" s="174" t="str">
        <f aca="false">"Etiquettes bouteilles contenance "&amp;Donnees!D51&amp;" cl"</f>
        <v>Etiquettes bouteilles contenance 0.75 cl</v>
      </c>
      <c r="D10" s="162" t="n">
        <f aca="false">Donnees!D54</f>
        <v>0.06</v>
      </c>
      <c r="E10" s="163" t="n">
        <f aca="false">ROUNDDOWN(((Donnees!D52*Donnees!D10)/100)/Donnees!D51,0)</f>
        <v>153</v>
      </c>
      <c r="F10" s="164" t="n">
        <f aca="false">D10*E10</f>
        <v>9.18</v>
      </c>
      <c r="G10" s="165" t="n">
        <f aca="false">(F10*100)/D33</f>
        <v>1.29722378703105</v>
      </c>
      <c r="H10" s="159"/>
      <c r="I10" s="160"/>
    </row>
    <row r="11" customFormat="false" ht="21" hidden="false" customHeight="true" outlineLevel="0" collapsed="false">
      <c r="B11" s="171"/>
      <c r="C11" s="174" t="str">
        <f aca="false">"Capsules bouteilles contenance "&amp;Donnees!D51&amp;" cl"</f>
        <v>Capsules bouteilles contenance 0.75 cl</v>
      </c>
      <c r="D11" s="162" t="n">
        <f aca="false">Donnees!D55</f>
        <v>0.05</v>
      </c>
      <c r="E11" s="163" t="n">
        <f aca="false">ROUNDDOWN(((Donnees!D52*Donnees!D10)/100)/Donnees!D51,0)</f>
        <v>153</v>
      </c>
      <c r="F11" s="164" t="n">
        <f aca="false">D11*E11</f>
        <v>7.65</v>
      </c>
      <c r="G11" s="165" t="n">
        <f aca="false">(F11*100)/D33</f>
        <v>1.08101982252587</v>
      </c>
      <c r="H11" s="159"/>
      <c r="I11" s="160"/>
    </row>
    <row r="12" customFormat="false" ht="21" hidden="false" customHeight="true" outlineLevel="0" collapsed="false">
      <c r="B12" s="171"/>
      <c r="C12" s="176" t="s">
        <v>133</v>
      </c>
      <c r="D12" s="167" t="n">
        <f aca="false">Donnees!D58</f>
        <v>0.12</v>
      </c>
      <c r="E12" s="177" t="n">
        <f aca="false">E10/Donnees!D59</f>
        <v>25.5</v>
      </c>
      <c r="F12" s="178" t="n">
        <f aca="false">E12*D12</f>
        <v>3.06</v>
      </c>
      <c r="G12" s="170" t="n">
        <f aca="false">(F12*100)/D33</f>
        <v>0.432407929010348</v>
      </c>
      <c r="H12" s="159"/>
      <c r="I12" s="160"/>
    </row>
    <row r="13" customFormat="false" ht="21" hidden="false" customHeight="true" outlineLevel="0" collapsed="false">
      <c r="B13" s="179" t="s">
        <v>134</v>
      </c>
      <c r="C13" s="180" t="s">
        <v>135</v>
      </c>
      <c r="D13" s="155" t="n">
        <f aca="false">Donnees!D15</f>
        <v>1</v>
      </c>
      <c r="E13" s="156" t="n">
        <f aca="false">Donnees!D16</f>
        <v>120</v>
      </c>
      <c r="F13" s="157" t="n">
        <f aca="false">(D13*E13)</f>
        <v>120</v>
      </c>
      <c r="G13" s="158" t="n">
        <f aca="false">(F13*100)/D33</f>
        <v>16.9571736866803</v>
      </c>
      <c r="H13" s="181" t="n">
        <f aca="false">SUM(F13:F22)</f>
        <v>339.299</v>
      </c>
      <c r="I13" s="160" t="n">
        <f aca="false">SUM(G13:G22)</f>
        <v>47.9462672893079</v>
      </c>
    </row>
    <row r="14" customFormat="false" ht="21" hidden="false" customHeight="true" outlineLevel="0" collapsed="false">
      <c r="B14" s="179"/>
      <c r="C14" s="182" t="s">
        <v>136</v>
      </c>
      <c r="D14" s="162" t="n">
        <f aca="false">Donnees!D20</f>
        <v>15</v>
      </c>
      <c r="E14" s="163" t="n">
        <f aca="false">Donnees!D19</f>
        <v>1.5</v>
      </c>
      <c r="F14" s="164" t="n">
        <f aca="false">E14*D14</f>
        <v>22.5</v>
      </c>
      <c r="G14" s="165" t="n">
        <f aca="false">(F14*100)/D33</f>
        <v>3.17947006625256</v>
      </c>
      <c r="H14" s="181"/>
      <c r="I14" s="160"/>
    </row>
    <row r="15" customFormat="false" ht="21" hidden="false" customHeight="true" outlineLevel="0" collapsed="false">
      <c r="B15" s="179"/>
      <c r="C15" s="182" t="s">
        <v>137</v>
      </c>
      <c r="D15" s="162" t="n">
        <f aca="false">Donnees!D37</f>
        <v>3.11</v>
      </c>
      <c r="E15" s="163" t="n">
        <f aca="false">Donnees!D7/1000+50%</f>
        <v>0.9</v>
      </c>
      <c r="F15" s="164" t="n">
        <f aca="false">(D15*E15)</f>
        <v>2.799</v>
      </c>
      <c r="G15" s="165" t="n">
        <f aca="false">(F15*100)/D33</f>
        <v>0.395526076241819</v>
      </c>
      <c r="H15" s="181"/>
      <c r="I15" s="160"/>
    </row>
    <row r="16" customFormat="false" ht="21" hidden="false" customHeight="true" outlineLevel="0" collapsed="false">
      <c r="B16" s="179"/>
      <c r="C16" s="182" t="s">
        <v>138</v>
      </c>
      <c r="D16" s="162" t="n">
        <f aca="false">Donnees!D38</f>
        <v>1</v>
      </c>
      <c r="E16" s="163" t="n">
        <f aca="false">D16*Donnees!D39</f>
        <v>4</v>
      </c>
      <c r="F16" s="164" t="n">
        <f aca="false">(D16*E16)</f>
        <v>4</v>
      </c>
      <c r="G16" s="165" t="n">
        <f aca="false">(F16*100)/D33</f>
        <v>0.565239122889344</v>
      </c>
      <c r="H16" s="181"/>
      <c r="I16" s="160"/>
    </row>
    <row r="17" customFormat="false" ht="21" hidden="false" customHeight="true" outlineLevel="0" collapsed="false">
      <c r="B17" s="179"/>
      <c r="C17" s="182" t="s">
        <v>139</v>
      </c>
      <c r="D17" s="162" t="n">
        <f aca="false">Donnees!D40</f>
        <v>100</v>
      </c>
      <c r="E17" s="163" t="n">
        <f aca="false">Donnees!D41</f>
        <v>0.25</v>
      </c>
      <c r="F17" s="164" t="n">
        <f aca="false">(D17*E17)</f>
        <v>25</v>
      </c>
      <c r="G17" s="165" t="n">
        <f aca="false">(F17*100)/D33</f>
        <v>3.5327445180584</v>
      </c>
      <c r="H17" s="181"/>
      <c r="I17" s="160"/>
    </row>
    <row r="18" customFormat="false" ht="21" hidden="false" customHeight="true" outlineLevel="0" collapsed="false">
      <c r="B18" s="179"/>
      <c r="C18" s="182" t="s">
        <v>140</v>
      </c>
      <c r="D18" s="162" t="n">
        <f aca="false">Donnees!D21</f>
        <v>40</v>
      </c>
      <c r="E18" s="163" t="n">
        <f aca="false">Donnees!D24</f>
        <v>2.5</v>
      </c>
      <c r="F18" s="164" t="n">
        <f aca="false">(D18*E18)</f>
        <v>100</v>
      </c>
      <c r="G18" s="165" t="n">
        <f aca="false">(F18*100)/D33</f>
        <v>14.1309780722336</v>
      </c>
      <c r="H18" s="181"/>
      <c r="I18" s="160"/>
    </row>
    <row r="19" customFormat="false" ht="21" hidden="false" customHeight="true" outlineLevel="0" collapsed="false">
      <c r="B19" s="179"/>
      <c r="C19" s="183" t="str">
        <f aca="false">"Epices / Aromes "&amp;Donnees!D27</f>
        <v>Epices / Aromes Cannelle</v>
      </c>
      <c r="D19" s="184" t="n">
        <f aca="false">Donnees!D28</f>
        <v>25</v>
      </c>
      <c r="E19" s="185" t="n">
        <f aca="false">Donnees!D29</f>
        <v>1</v>
      </c>
      <c r="F19" s="186" t="n">
        <f aca="false">D19*E19</f>
        <v>25</v>
      </c>
      <c r="G19" s="187" t="n">
        <f aca="false">(F19*100)/D33</f>
        <v>3.5327445180584</v>
      </c>
      <c r="H19" s="181"/>
      <c r="I19" s="160"/>
    </row>
    <row r="20" customFormat="false" ht="21" hidden="false" customHeight="true" outlineLevel="0" collapsed="false">
      <c r="B20" s="179"/>
      <c r="C20" s="183" t="str">
        <f aca="false">"Epices / Aromes "&amp;Donnees!D32</f>
        <v>Epices / Aromes Oranges</v>
      </c>
      <c r="D20" s="184" t="n">
        <f aca="false">Donnees!D31</f>
        <v>3</v>
      </c>
      <c r="E20" s="185" t="n">
        <f aca="false">Donnees!D33</f>
        <v>2</v>
      </c>
      <c r="F20" s="186" t="n">
        <f aca="false">D20*E20</f>
        <v>6</v>
      </c>
      <c r="G20" s="187" t="n">
        <f aca="false">(F20*100)/D33</f>
        <v>0.847858684334016</v>
      </c>
      <c r="H20" s="181"/>
      <c r="I20" s="160"/>
    </row>
    <row r="21" customFormat="false" ht="21" hidden="false" customHeight="true" outlineLevel="0" collapsed="false">
      <c r="B21" s="179"/>
      <c r="C21" s="183" t="str">
        <f aca="false">"Epices / Aromes "&amp;Donnees!D35</f>
        <v>Epices / Aromes Citron</v>
      </c>
      <c r="D21" s="184" t="n">
        <f aca="false">Donnees!D34</f>
        <v>4</v>
      </c>
      <c r="E21" s="185" t="n">
        <f aca="false">Donnees!D36</f>
        <v>1</v>
      </c>
      <c r="F21" s="186" t="n">
        <f aca="false">D21*E21</f>
        <v>4</v>
      </c>
      <c r="G21" s="187" t="n">
        <f aca="false">(F21*100)/D33</f>
        <v>0.565239122889344</v>
      </c>
      <c r="H21" s="181"/>
      <c r="I21" s="160"/>
    </row>
    <row r="22" customFormat="false" ht="21" hidden="false" customHeight="true" outlineLevel="0" collapsed="false">
      <c r="B22" s="179"/>
      <c r="C22" s="188" t="s">
        <v>141</v>
      </c>
      <c r="D22" s="189" t="n">
        <f aca="false">Donnees!D26</f>
        <v>1</v>
      </c>
      <c r="E22" s="190" t="n">
        <f aca="false">Donnees!D25</f>
        <v>30</v>
      </c>
      <c r="F22" s="169" t="n">
        <f aca="false">E22*D22</f>
        <v>30</v>
      </c>
      <c r="G22" s="170" t="n">
        <f aca="false">(F22*100)/D33</f>
        <v>4.23929342167008</v>
      </c>
      <c r="H22" s="181"/>
      <c r="I22" s="160"/>
    </row>
    <row r="23" customFormat="false" ht="21" hidden="false" customHeight="true" outlineLevel="0" collapsed="false">
      <c r="B23" s="191" t="s">
        <v>89</v>
      </c>
      <c r="C23" s="192" t="s">
        <v>142</v>
      </c>
      <c r="D23" s="156" t="n">
        <f aca="false">3.7*((Donnees!D10)/100)*Donnees!D12</f>
        <v>85.248</v>
      </c>
      <c r="E23" s="156" t="n">
        <v>1</v>
      </c>
      <c r="F23" s="157" t="n">
        <f aca="false">(D23*E23)</f>
        <v>85.248</v>
      </c>
      <c r="G23" s="158" t="n">
        <f aca="false">(F23*100)/D33</f>
        <v>12.0463761870177</v>
      </c>
      <c r="H23" s="181" t="n">
        <f aca="false">SUM(F23:F27)</f>
        <v>138.65693258427</v>
      </c>
      <c r="I23" s="160" t="n">
        <f aca="false">SUM(G23:G27)</f>
        <v>19.5935807391149</v>
      </c>
    </row>
    <row r="24" customFormat="false" ht="17.4" hidden="false" customHeight="true" outlineLevel="0" collapsed="false">
      <c r="B24" s="191"/>
      <c r="C24" s="193" t="s">
        <v>143</v>
      </c>
      <c r="D24" s="163" t="n">
        <f aca="false">Donnees!D61</f>
        <v>20</v>
      </c>
      <c r="E24" s="163" t="n">
        <f aca="false">(Donnees!D64*Donnees!D63)/Donnees!D62</f>
        <v>0.842696629213483</v>
      </c>
      <c r="F24" s="164" t="n">
        <f aca="false">(D24*E24)</f>
        <v>16.8539325842697</v>
      </c>
      <c r="G24" s="165" t="n">
        <f aca="false">(F24*100)/D33</f>
        <v>2.38162551779218</v>
      </c>
      <c r="H24" s="181"/>
      <c r="I24" s="160"/>
    </row>
    <row r="25" customFormat="false" ht="17.4" hidden="false" customHeight="true" outlineLevel="0" collapsed="false">
      <c r="B25" s="191"/>
      <c r="C25" s="194" t="s">
        <v>144</v>
      </c>
      <c r="D25" s="185" t="n">
        <f aca="false">Donnees!D65</f>
        <v>20</v>
      </c>
      <c r="E25" s="185" t="n">
        <f aca="false">Donnees!D85</f>
        <v>0</v>
      </c>
      <c r="F25" s="186" t="n">
        <f aca="false">D25*E25</f>
        <v>0</v>
      </c>
      <c r="G25" s="195" t="n">
        <f aca="false">(F25*100)/D33</f>
        <v>0</v>
      </c>
      <c r="H25" s="181"/>
      <c r="I25" s="160"/>
    </row>
    <row r="26" customFormat="false" ht="17.4" hidden="false" customHeight="true" outlineLevel="0" collapsed="false">
      <c r="B26" s="191"/>
      <c r="C26" s="194" t="s">
        <v>145</v>
      </c>
      <c r="D26" s="185" t="n">
        <f aca="false">Donnees!D37</f>
        <v>3.11</v>
      </c>
      <c r="E26" s="185" t="n">
        <f aca="false">Donnees!D60/1000</f>
        <v>0.5</v>
      </c>
      <c r="F26" s="186" t="n">
        <f aca="false">D26*E26</f>
        <v>1.555</v>
      </c>
      <c r="G26" s="195" t="n">
        <f aca="false">(F26*100)/D33</f>
        <v>0.219736709023233</v>
      </c>
      <c r="H26" s="181"/>
      <c r="I26" s="160"/>
    </row>
    <row r="27" customFormat="false" ht="21" hidden="false" customHeight="true" outlineLevel="0" collapsed="false">
      <c r="B27" s="191"/>
      <c r="C27" s="196" t="s">
        <v>146</v>
      </c>
      <c r="D27" s="197" t="n">
        <f aca="false">Donnees!D13</f>
        <v>35</v>
      </c>
      <c r="E27" s="197" t="n">
        <v>1</v>
      </c>
      <c r="F27" s="341" t="n">
        <f aca="false">D27*E27</f>
        <v>35</v>
      </c>
      <c r="G27" s="198" t="n">
        <f aca="false">(F27*100)/D33</f>
        <v>4.94584232528176</v>
      </c>
      <c r="H27" s="181"/>
      <c r="I27" s="160"/>
    </row>
    <row r="28" customFormat="false" ht="32.4" hidden="false" customHeight="true" outlineLevel="0" collapsed="false">
      <c r="C28" s="199"/>
      <c r="D28" s="200"/>
      <c r="E28" s="200"/>
      <c r="F28" s="201"/>
      <c r="G28" s="201"/>
      <c r="H28" s="202"/>
    </row>
    <row r="29" customFormat="false" ht="21" hidden="false" customHeight="true" outlineLevel="0" collapsed="false">
      <c r="C29" s="203" t="str">
        <f aca="false">"Reventes bouteilles "&amp;Donnees!D42&amp;" cl"</f>
        <v>Reventes bouteilles 0.33 cl</v>
      </c>
      <c r="D29" s="204" t="n">
        <f aca="false">Donnees!D47</f>
        <v>1.6</v>
      </c>
      <c r="E29" s="158" t="n">
        <f aca="false">ROUNDDOWN(((Donnees!D43*Donnees!D10)/100)/Donnees!D42,0)</f>
        <v>523</v>
      </c>
      <c r="F29" s="205" t="n">
        <f aca="false">E29*D29</f>
        <v>836.8</v>
      </c>
      <c r="G29" s="201"/>
      <c r="H29" s="206"/>
    </row>
    <row r="30" customFormat="false" ht="21" hidden="false" customHeight="true" outlineLevel="0" collapsed="false">
      <c r="B30" s="207"/>
      <c r="C30" s="208" t="str">
        <f aca="false">"Reventes bouteilles "&amp;Donnees!D51&amp;" cl"</f>
        <v>Reventes bouteilles 0.75 cl</v>
      </c>
      <c r="D30" s="209" t="n">
        <f aca="false">Donnees!D56</f>
        <v>2.8</v>
      </c>
      <c r="E30" s="170" t="n">
        <f aca="false">ROUNDDOWN(((Donnees!D52*Donnees!D10)/100)/Donnees!D51,0)</f>
        <v>153</v>
      </c>
      <c r="F30" s="210" t="n">
        <f aca="false">D30*E30</f>
        <v>428.4</v>
      </c>
      <c r="G30" s="201"/>
      <c r="H30" s="206"/>
      <c r="J30" s="211"/>
    </row>
    <row r="31" customFormat="false" ht="21" hidden="false" customHeight="true" outlineLevel="0" collapsed="false">
      <c r="B31" s="207"/>
      <c r="C31" s="199"/>
      <c r="D31" s="200"/>
      <c r="E31" s="212"/>
      <c r="F31" s="201"/>
      <c r="G31" s="201"/>
      <c r="H31" s="206"/>
      <c r="J31" s="211"/>
    </row>
    <row r="32" customFormat="false" ht="21" hidden="false" customHeight="true" outlineLevel="0" collapsed="false">
      <c r="B32" s="207"/>
      <c r="C32" s="213" t="s">
        <v>147</v>
      </c>
      <c r="D32" s="213"/>
      <c r="E32" s="214"/>
      <c r="F32" s="214"/>
      <c r="G32" s="201"/>
      <c r="H32" s="206"/>
      <c r="J32" s="211"/>
    </row>
    <row r="33" customFormat="false" ht="24" hidden="false" customHeight="true" outlineLevel="0" collapsed="false">
      <c r="C33" s="215" t="s">
        <v>148</v>
      </c>
      <c r="D33" s="216" t="n">
        <f aca="false">SUM(F5:F27)</f>
        <v>707.665099250936</v>
      </c>
      <c r="E33" s="217"/>
      <c r="F33" s="217"/>
      <c r="G33" s="200"/>
      <c r="H33" s="200"/>
      <c r="J33" s="211"/>
    </row>
    <row r="34" customFormat="false" ht="24" hidden="false" customHeight="true" outlineLevel="0" collapsed="false">
      <c r="C34" s="218" t="s">
        <v>149</v>
      </c>
      <c r="D34" s="219" t="n">
        <f aca="false">F29+F30</f>
        <v>1265.2</v>
      </c>
      <c r="E34" s="217"/>
      <c r="F34" s="217"/>
      <c r="G34" s="200"/>
      <c r="H34" s="200"/>
      <c r="J34" s="211"/>
    </row>
    <row r="35" customFormat="false" ht="24" hidden="false" customHeight="true" outlineLevel="0" collapsed="false">
      <c r="C35" s="220" t="s">
        <v>150</v>
      </c>
      <c r="D35" s="221" t="n">
        <f aca="false">D34-D33</f>
        <v>557.534900749064</v>
      </c>
      <c r="E35" s="222"/>
      <c r="F35" s="222"/>
      <c r="G35" s="200"/>
      <c r="H35" s="200"/>
      <c r="J35" s="211"/>
    </row>
    <row r="36" customFormat="false" ht="24" hidden="false" customHeight="true" outlineLevel="0" collapsed="false">
      <c r="C36" s="223" t="str">
        <f aca="false">"Cout de production bouteilles "&amp;Donnees!D42&amp;" l"</f>
        <v>Cout de production bouteilles 0.33 l</v>
      </c>
      <c r="D36" s="224" t="n">
        <f aca="false">IF(F5&gt;=1,SUM(F5:F5,F16:F27)*(Donnees!D43/100)/F29,0)</f>
        <v>0.313520745160805</v>
      </c>
      <c r="E36" s="222"/>
      <c r="F36" s="222"/>
      <c r="G36" s="200"/>
      <c r="H36" s="200"/>
    </row>
    <row r="37" customFormat="false" ht="24" hidden="false" customHeight="true" outlineLevel="0" collapsed="false">
      <c r="C37" s="223" t="str">
        <f aca="false">"Marge bouteilles "&amp;Donnees!D42&amp;" l"</f>
        <v>Marge bouteilles 0.33 l</v>
      </c>
      <c r="D37" s="224" t="n">
        <f aca="false">IF(F5&gt;=1,D29-D36,0)</f>
        <v>1.2864792548392</v>
      </c>
      <c r="E37" s="222"/>
      <c r="F37" s="222"/>
      <c r="G37" s="200"/>
      <c r="H37" s="200"/>
    </row>
    <row r="38" customFormat="false" ht="24" hidden="false" customHeight="true" outlineLevel="0" collapsed="false">
      <c r="C38" s="223" t="str">
        <f aca="false">"Marge commerciale (%) bouteilles "&amp;Donnees!D42&amp;" l"</f>
        <v>Marge commerciale (%) bouteilles 0.33 l</v>
      </c>
      <c r="D38" s="225" t="n">
        <f aca="false">IF(F5&gt;=1,(D37/D36)*100,0)</f>
        <v>410.333056008577</v>
      </c>
      <c r="E38" s="222"/>
      <c r="F38" s="222"/>
      <c r="G38" s="200"/>
      <c r="H38" s="200"/>
    </row>
    <row r="39" customFormat="false" ht="24" hidden="false" customHeight="true" outlineLevel="0" collapsed="false">
      <c r="C39" s="223" t="str">
        <f aca="false">"Cout de production bouteilles "&amp;Donnees!D51&amp;" l"</f>
        <v>Cout de production bouteilles 0.75 l</v>
      </c>
      <c r="D39" s="224" t="n">
        <f aca="false">IF(F9&gt;=1,SUM(F13,F15,F9:F27)*(Donnees!D52/100)/F30,0)</f>
        <v>0.636643261049738</v>
      </c>
      <c r="E39" s="222"/>
      <c r="F39" s="222"/>
      <c r="G39" s="200"/>
      <c r="H39" s="200"/>
    </row>
    <row r="40" customFormat="false" ht="24" hidden="false" customHeight="true" outlineLevel="0" collapsed="false">
      <c r="C40" s="223" t="str">
        <f aca="false">"Marge bouteilles "&amp;Donnees!D51&amp;" l"</f>
        <v>Marge bouteilles 0.75 l</v>
      </c>
      <c r="D40" s="224" t="n">
        <f aca="false">IF(F9&gt;=1,SUM(D30-D39),0)</f>
        <v>2.16335673895026</v>
      </c>
      <c r="E40" s="222"/>
      <c r="F40" s="222"/>
      <c r="G40" s="200"/>
      <c r="H40" s="200"/>
    </row>
    <row r="41" customFormat="false" ht="24" hidden="false" customHeight="true" outlineLevel="0" collapsed="false">
      <c r="C41" s="223" t="str">
        <f aca="false">"Marge commerciale bouteilles (%) "&amp;Donnees!D51&amp;" l"</f>
        <v>Marge commerciale bouteilles (%) 0.75 l</v>
      </c>
      <c r="D41" s="225" t="n">
        <f aca="false">IF(F9&gt;=1,(D40/D39*100),0)</f>
        <v>339.806744421229</v>
      </c>
      <c r="E41" s="222"/>
      <c r="F41" s="222"/>
      <c r="G41" s="200"/>
      <c r="H41" s="200"/>
    </row>
    <row r="42" customFormat="false" ht="17.4" hidden="false" customHeight="false" outlineLevel="0" collapsed="false">
      <c r="C42" s="226"/>
      <c r="D42" s="227"/>
      <c r="E42" s="226"/>
      <c r="F42" s="228"/>
      <c r="G42" s="228"/>
      <c r="H42" s="228"/>
    </row>
    <row r="43" customFormat="false" ht="17.4" hidden="false" customHeight="true" outlineLevel="0" collapsed="false">
      <c r="C43" s="229" t="s">
        <v>187</v>
      </c>
      <c r="D43" s="229"/>
      <c r="E43" s="229"/>
      <c r="F43" s="229"/>
      <c r="G43" s="230"/>
      <c r="H43" s="231"/>
    </row>
    <row r="44" customFormat="false" ht="31.2" hidden="false" customHeight="true" outlineLevel="0" collapsed="false">
      <c r="C44" s="232" t="s">
        <v>152</v>
      </c>
      <c r="D44" s="233" t="s">
        <v>148</v>
      </c>
      <c r="E44" s="233" t="s">
        <v>153</v>
      </c>
      <c r="F44" s="213" t="s">
        <v>154</v>
      </c>
      <c r="G44" s="234"/>
      <c r="H44" s="234"/>
    </row>
    <row r="45" customFormat="false" ht="15.6" hidden="false" customHeight="false" outlineLevel="0" collapsed="false">
      <c r="C45" s="235" t="n">
        <v>1</v>
      </c>
      <c r="D45" s="236" t="n">
        <f aca="false">D33</f>
        <v>707.665099250936</v>
      </c>
      <c r="E45" s="236" t="n">
        <f aca="false">D34</f>
        <v>1265.2</v>
      </c>
      <c r="F45" s="342" t="n">
        <f aca="false">E45-D45</f>
        <v>557.534900749064</v>
      </c>
      <c r="G45" s="234"/>
      <c r="H45" s="234"/>
    </row>
    <row r="46" customFormat="false" ht="15.6" hidden="false" customHeight="false" outlineLevel="0" collapsed="false">
      <c r="C46" s="238" t="n">
        <v>2</v>
      </c>
      <c r="D46" s="343" t="n">
        <f aca="false">D33*2</f>
        <v>1415.33019850187</v>
      </c>
      <c r="E46" s="343" t="n">
        <f aca="false">D34*2</f>
        <v>2530.4</v>
      </c>
      <c r="F46" s="342" t="n">
        <f aca="false">E46-D46</f>
        <v>1115.06980149813</v>
      </c>
      <c r="G46" s="234"/>
      <c r="H46" s="234"/>
    </row>
    <row r="47" customFormat="false" ht="15.6" hidden="false" customHeight="false" outlineLevel="0" collapsed="false">
      <c r="C47" s="240" t="n">
        <v>3</v>
      </c>
      <c r="D47" s="343" t="n">
        <f aca="false">D33*3</f>
        <v>2122.99529775281</v>
      </c>
      <c r="E47" s="343" t="n">
        <f aca="false">D34*3</f>
        <v>3795.6</v>
      </c>
      <c r="F47" s="342" t="n">
        <f aca="false">E47-D47</f>
        <v>1672.60470224719</v>
      </c>
      <c r="G47" s="234"/>
      <c r="H47" s="234"/>
    </row>
    <row r="48" customFormat="false" ht="17.4" hidden="false" customHeight="false" outlineLevel="0" collapsed="false">
      <c r="C48" s="241"/>
      <c r="D48" s="242"/>
      <c r="E48" s="242"/>
      <c r="F48" s="242"/>
      <c r="G48" s="234"/>
      <c r="H48" s="234"/>
    </row>
    <row r="49" customFormat="false" ht="17.4" hidden="false" customHeight="false" outlineLevel="0" collapsed="false">
      <c r="C49" s="344" t="s">
        <v>188</v>
      </c>
      <c r="D49" s="344"/>
      <c r="E49" s="344"/>
      <c r="F49" s="344"/>
      <c r="G49" s="344"/>
      <c r="H49" s="234"/>
    </row>
    <row r="50" customFormat="false" ht="25.8" hidden="false" customHeight="true" outlineLevel="0" collapsed="false">
      <c r="C50" s="345" t="s">
        <v>156</v>
      </c>
      <c r="D50" s="239" t="s">
        <v>148</v>
      </c>
      <c r="E50" s="346" t="s">
        <v>157</v>
      </c>
      <c r="F50" s="239" t="s">
        <v>153</v>
      </c>
      <c r="G50" s="347" t="s">
        <v>154</v>
      </c>
      <c r="H50" s="234"/>
    </row>
    <row r="51" customFormat="false" ht="15.6" hidden="false" customHeight="false" outlineLevel="0" collapsed="false">
      <c r="C51" s="240" t="n">
        <v>1</v>
      </c>
      <c r="D51" s="343" t="n">
        <f aca="false">D45*4</f>
        <v>2830.66039700374</v>
      </c>
      <c r="E51" s="348" t="n">
        <f aca="false">SUM(Donnees!C67:E77)</f>
        <v>13.6</v>
      </c>
      <c r="F51" s="343" t="n">
        <f aca="false">E45*4</f>
        <v>5060.8</v>
      </c>
      <c r="G51" s="349" t="n">
        <f aca="false">F51-D51</f>
        <v>2230.13960299625</v>
      </c>
      <c r="H51" s="234"/>
    </row>
    <row r="52" customFormat="false" ht="15.6" hidden="false" customHeight="false" outlineLevel="0" collapsed="false">
      <c r="C52" s="240" t="n">
        <v>2</v>
      </c>
      <c r="D52" s="343" t="n">
        <f aca="false">D46*4</f>
        <v>5661.32079400749</v>
      </c>
      <c r="E52" s="348"/>
      <c r="F52" s="343" t="n">
        <f aca="false">E46*4</f>
        <v>10121.6</v>
      </c>
      <c r="G52" s="349" t="n">
        <f aca="false">F52-D52</f>
        <v>4460.27920599251</v>
      </c>
      <c r="H52" s="234"/>
    </row>
    <row r="53" customFormat="false" ht="15.6" hidden="false" customHeight="false" outlineLevel="0" collapsed="false">
      <c r="C53" s="240" t="n">
        <v>3</v>
      </c>
      <c r="D53" s="343" t="n">
        <f aca="false">D47*4</f>
        <v>8491.98119101123</v>
      </c>
      <c r="E53" s="348"/>
      <c r="F53" s="343" t="n">
        <f aca="false">E47*4</f>
        <v>15182.4</v>
      </c>
      <c r="G53" s="349" t="n">
        <f aca="false">F53-D53</f>
        <v>6690.41880898877</v>
      </c>
      <c r="H53" s="234"/>
    </row>
    <row r="54" customFormat="false" ht="37.8" hidden="false" customHeight="true" outlineLevel="0" collapsed="false">
      <c r="C54" s="257"/>
      <c r="D54" s="258"/>
      <c r="E54" s="258"/>
      <c r="F54" s="258"/>
      <c r="G54" s="258"/>
      <c r="H54" s="258"/>
    </row>
    <row r="55" customFormat="false" ht="27" hidden="false" customHeight="true" outlineLevel="0" collapsed="false">
      <c r="B55" s="350" t="s">
        <v>189</v>
      </c>
      <c r="C55" s="350"/>
      <c r="D55" s="350"/>
      <c r="E55" s="350"/>
      <c r="F55" s="350"/>
      <c r="G55" s="260"/>
      <c r="H55" s="260"/>
      <c r="I55" s="261"/>
    </row>
    <row r="56" s="2" customFormat="true" ht="46.2" hidden="false" customHeight="true" outlineLevel="0" collapsed="false">
      <c r="B56" s="262"/>
      <c r="C56" s="263" t="s">
        <v>159</v>
      </c>
      <c r="D56" s="351" t="str">
        <f aca="false">"1 Brassin par semaine / "&amp;C51*Donnees!D14&amp;" brassins par an"</f>
        <v>1 Brassin par semaine / 40 brassins par an</v>
      </c>
      <c r="E56" s="351" t="str">
        <f aca="false">"2 Brassin par semaine / "&amp;C52*Donnees!D14&amp;" brassins par an"</f>
        <v>2 Brassin par semaine / 80 brassins par an</v>
      </c>
      <c r="F56" s="352" t="str">
        <f aca="false">"3 Brassin par semaine / "&amp;C53*Donnees!D14&amp;" brassins par an"</f>
        <v>3 Brassin par semaine / 120 brassins par an</v>
      </c>
      <c r="G56" s="353"/>
      <c r="H56" s="353"/>
      <c r="I56" s="267"/>
    </row>
    <row r="57" s="268" customFormat="true" ht="21" hidden="false" customHeight="true" outlineLevel="0" collapsed="false">
      <c r="B57" s="269" t="s">
        <v>160</v>
      </c>
      <c r="C57" s="354" t="s">
        <v>161</v>
      </c>
      <c r="D57" s="204" t="n">
        <f aca="false">E45*Donnees!D14</f>
        <v>50608</v>
      </c>
      <c r="E57" s="204" t="n">
        <f aca="false">E46*Donnees!D14</f>
        <v>101216</v>
      </c>
      <c r="F57" s="158" t="n">
        <f aca="false">E47*Donnees!D14</f>
        <v>151824</v>
      </c>
      <c r="G57" s="271"/>
      <c r="H57" s="271"/>
      <c r="I57" s="272"/>
    </row>
    <row r="58" s="268" customFormat="true" ht="21" hidden="false" customHeight="true" outlineLevel="0" collapsed="false">
      <c r="B58" s="269"/>
      <c r="C58" s="273" t="s">
        <v>162</v>
      </c>
      <c r="D58" s="274" t="n">
        <f aca="false">D45*Donnees!D14</f>
        <v>28306.6039700374</v>
      </c>
      <c r="E58" s="274" t="n">
        <f aca="false">D46*Donnees!D14</f>
        <v>56613.2079400749</v>
      </c>
      <c r="F58" s="275" t="n">
        <f aca="false">D47*Donnees!D14</f>
        <v>84919.8119101123</v>
      </c>
      <c r="G58" s="276"/>
      <c r="H58" s="276"/>
      <c r="I58" s="277"/>
    </row>
    <row r="59" s="268" customFormat="true" ht="21" hidden="false" customHeight="true" outlineLevel="0" collapsed="false">
      <c r="B59" s="269"/>
      <c r="C59" s="278" t="s">
        <v>163</v>
      </c>
      <c r="D59" s="279" t="n">
        <f aca="false">F45*Donnees!D14</f>
        <v>22301.3960299626</v>
      </c>
      <c r="E59" s="279" t="n">
        <f aca="false">F46*Donnees!D14</f>
        <v>44602.7920599251</v>
      </c>
      <c r="F59" s="165" t="n">
        <f aca="false">F47*Donnees!D14</f>
        <v>66904.1880898877</v>
      </c>
      <c r="G59" s="271"/>
      <c r="H59" s="271"/>
      <c r="I59" s="277"/>
    </row>
    <row r="60" s="268" customFormat="true" ht="21" hidden="false" customHeight="true" outlineLevel="0" collapsed="false">
      <c r="B60" s="269"/>
      <c r="C60" s="273" t="s">
        <v>164</v>
      </c>
      <c r="D60" s="165" t="n">
        <f aca="false">E51*12</f>
        <v>163.2</v>
      </c>
      <c r="E60" s="165"/>
      <c r="F60" s="165"/>
      <c r="G60" s="271"/>
      <c r="H60" s="271"/>
      <c r="I60" s="277"/>
    </row>
    <row r="61" s="268" customFormat="true" ht="21" hidden="false" customHeight="true" outlineLevel="0" collapsed="false">
      <c r="B61" s="269"/>
      <c r="C61" s="273" t="s">
        <v>165</v>
      </c>
      <c r="D61" s="281" t="n">
        <f aca="false">(D59*Donnees!D85%)</f>
        <v>0</v>
      </c>
      <c r="E61" s="281" t="n">
        <f aca="false">(E59*Donnees!D85%)</f>
        <v>0</v>
      </c>
      <c r="F61" s="282" t="n">
        <f aca="false">(F59*Donnees!D85%)</f>
        <v>0</v>
      </c>
      <c r="G61" s="276"/>
      <c r="H61" s="276"/>
      <c r="I61" s="277"/>
    </row>
    <row r="62" s="268" customFormat="true" ht="21" hidden="false" customHeight="true" outlineLevel="0" collapsed="false">
      <c r="B62" s="269"/>
      <c r="C62" s="278" t="s">
        <v>166</v>
      </c>
      <c r="D62" s="279" t="n">
        <f aca="false">D57-D58-D61-D60</f>
        <v>22138.1960299626</v>
      </c>
      <c r="E62" s="279" t="n">
        <f aca="false">E57-E58-E61-D60</f>
        <v>44439.5920599251</v>
      </c>
      <c r="F62" s="165" t="n">
        <f aca="false">F57-F58-F61-D60</f>
        <v>66740.9880898877</v>
      </c>
      <c r="G62" s="271"/>
      <c r="H62" s="271"/>
      <c r="I62" s="277"/>
    </row>
    <row r="63" s="268" customFormat="true" ht="21" hidden="false" customHeight="true" outlineLevel="0" collapsed="false">
      <c r="B63" s="269"/>
      <c r="C63" s="283" t="s">
        <v>167</v>
      </c>
      <c r="D63" s="190" t="n">
        <f aca="false">D62/12</f>
        <v>1844.84966916355</v>
      </c>
      <c r="E63" s="190" t="n">
        <f aca="false">E62/12</f>
        <v>3703.29933832709</v>
      </c>
      <c r="F63" s="355" t="n">
        <f aca="false">F62/12</f>
        <v>5561.74900749064</v>
      </c>
      <c r="G63" s="286"/>
      <c r="H63" s="286"/>
      <c r="I63" s="277"/>
    </row>
    <row r="64" s="268" customFormat="true" ht="39" hidden="false" customHeight="true" outlineLevel="0" collapsed="false">
      <c r="B64" s="356" t="s">
        <v>168</v>
      </c>
      <c r="C64" s="356"/>
      <c r="D64" s="356"/>
      <c r="E64" s="356"/>
      <c r="F64" s="356"/>
      <c r="G64" s="286"/>
      <c r="H64" s="286"/>
      <c r="I64" s="277"/>
    </row>
    <row r="65" s="268" customFormat="true" ht="21" hidden="false" customHeight="true" outlineLevel="0" collapsed="false">
      <c r="B65" s="357" t="s">
        <v>169</v>
      </c>
      <c r="C65" s="290" t="s">
        <v>170</v>
      </c>
      <c r="D65" s="291" t="n">
        <f aca="false">IF(D62&gt;=38120,(38120*15%),(D62*15%))</f>
        <v>3320.72940449439</v>
      </c>
      <c r="E65" s="291" t="n">
        <f aca="false">IF(E62&gt;=38120,(38120*15%),(E62*15%))</f>
        <v>5718</v>
      </c>
      <c r="F65" s="292" t="n">
        <f aca="false">IF(F62&gt;=38120,(38120*15%),(F62*15%))</f>
        <v>5718</v>
      </c>
      <c r="G65" s="293"/>
      <c r="H65" s="293"/>
      <c r="I65" s="277"/>
    </row>
    <row r="66" s="268" customFormat="true" ht="66" hidden="false" customHeight="true" outlineLevel="0" collapsed="false">
      <c r="B66" s="357"/>
      <c r="C66" s="273" t="s">
        <v>171</v>
      </c>
      <c r="D66" s="274" t="n">
        <f aca="false">IF(D62&lt;38120,0,IF(D62&lt;75000,(D62-38120)*28%,(36880)*28%))</f>
        <v>0</v>
      </c>
      <c r="E66" s="294" t="n">
        <f aca="false">IF(E62&lt;38120,0,IF(E62&lt;75000,(E62-38120)*28%,(36880)*28%))</f>
        <v>1769.48577677903</v>
      </c>
      <c r="F66" s="275" t="n">
        <f aca="false">IF(F62&lt;38120,0,IF(F62&lt;75000,(F62-38120)*28%,(36880)*28%))</f>
        <v>8013.87666516856</v>
      </c>
      <c r="G66" s="295"/>
      <c r="H66" s="296"/>
      <c r="I66" s="277"/>
    </row>
    <row r="67" s="2" customFormat="true" ht="21" hidden="false" customHeight="true" outlineLevel="0" collapsed="false">
      <c r="B67" s="357"/>
      <c r="C67" s="273" t="s">
        <v>172</v>
      </c>
      <c r="D67" s="297" t="n">
        <f aca="false">IF(D62&lt;75000,0,IF(D62&gt;75001,(D62-75001)*33%))</f>
        <v>0</v>
      </c>
      <c r="E67" s="297" t="n">
        <f aca="false">IF(E62&lt;75000,0,IF(E62&gt;75001,(E62-75001)*33%))</f>
        <v>0</v>
      </c>
      <c r="F67" s="298" t="n">
        <f aca="false">IF(F62&lt;75000,0,IF(F62&gt;75001,(F62-75001)*33%))</f>
        <v>0</v>
      </c>
      <c r="G67" s="293"/>
      <c r="H67" s="293"/>
      <c r="I67" s="299"/>
    </row>
    <row r="68" s="2" customFormat="true" ht="21" hidden="false" customHeight="true" outlineLevel="0" collapsed="false">
      <c r="B68" s="357"/>
      <c r="C68" s="358" t="s">
        <v>173</v>
      </c>
      <c r="D68" s="359" t="n">
        <f aca="false">SUM(D65:D67)</f>
        <v>3320.72940449439</v>
      </c>
      <c r="E68" s="359" t="n">
        <f aca="false">SUM(E65:E67)</f>
        <v>7487.48577677903</v>
      </c>
      <c r="F68" s="360" t="n">
        <f aca="false">SUM(F65:F67)</f>
        <v>13731.8766651686</v>
      </c>
      <c r="G68" s="293"/>
      <c r="H68" s="293"/>
      <c r="I68" s="299"/>
    </row>
    <row r="69" s="2" customFormat="true" ht="21" hidden="false" customHeight="true" outlineLevel="0" collapsed="false">
      <c r="B69" s="361" t="s">
        <v>190</v>
      </c>
      <c r="C69" s="362" t="s">
        <v>175</v>
      </c>
      <c r="D69" s="297" t="n">
        <f aca="false">D62-D68</f>
        <v>18817.4666254682</v>
      </c>
      <c r="E69" s="297" t="n">
        <f aca="false">E62-E68</f>
        <v>36952.1062831461</v>
      </c>
      <c r="F69" s="297" t="n">
        <f aca="false">F62-F68</f>
        <v>53009.1114247191</v>
      </c>
      <c r="G69" s="293"/>
      <c r="H69" s="293"/>
      <c r="I69" s="299"/>
    </row>
    <row r="70" s="2" customFormat="true" ht="21" hidden="false" customHeight="true" outlineLevel="0" collapsed="false">
      <c r="B70" s="361"/>
      <c r="C70" s="362" t="s">
        <v>191</v>
      </c>
      <c r="D70" s="363" t="n">
        <f aca="false">D69/12</f>
        <v>1568.12221878902</v>
      </c>
      <c r="E70" s="363" t="n">
        <f aca="false">E69/12</f>
        <v>3079.34219026217</v>
      </c>
      <c r="F70" s="363" t="n">
        <f aca="false">F69/12</f>
        <v>4417.42595205993</v>
      </c>
      <c r="G70" s="293"/>
      <c r="H70" s="293"/>
      <c r="I70" s="299"/>
    </row>
    <row r="71" customFormat="false" ht="39" hidden="false" customHeight="true" outlineLevel="0" collapsed="false">
      <c r="B71" s="364" t="s">
        <v>177</v>
      </c>
      <c r="C71" s="364"/>
      <c r="D71" s="364"/>
      <c r="E71" s="364"/>
      <c r="F71" s="364"/>
      <c r="G71" s="303"/>
      <c r="H71" s="303"/>
      <c r="I71" s="313"/>
    </row>
    <row r="72" customFormat="false" ht="29.4" hidden="false" customHeight="true" outlineLevel="0" collapsed="false">
      <c r="B72" s="316" t="s">
        <v>169</v>
      </c>
      <c r="C72" s="317" t="s">
        <v>178</v>
      </c>
      <c r="D72" s="365" t="n">
        <f aca="false">IF(D57&gt;82800,"IMPOSSIBLE : C.A Trop eleve",14.4*D57/100)</f>
        <v>7287.552</v>
      </c>
      <c r="E72" s="365" t="str">
        <f aca="false">IF(E57&gt;82800,"IMPOSSIBLE",14.4*E57/100)</f>
        <v>IMPOSSIBLE</v>
      </c>
      <c r="F72" s="366" t="str">
        <f aca="false">IF(F57&gt;82800,"IMPOSSIBLE",14.4*F57/100)</f>
        <v>IMPOSSIBLE</v>
      </c>
      <c r="G72" s="367"/>
      <c r="H72" s="367"/>
      <c r="I72" s="313"/>
    </row>
    <row r="73" customFormat="false" ht="22.95" hidden="false" customHeight="true" outlineLevel="0" collapsed="false">
      <c r="B73" s="368" t="s">
        <v>190</v>
      </c>
      <c r="C73" s="369" t="s">
        <v>175</v>
      </c>
      <c r="D73" s="370" t="n">
        <f aca="false">D62-D68</f>
        <v>18817.4666254682</v>
      </c>
      <c r="E73" s="370" t="n">
        <f aca="false">E62-E68</f>
        <v>36952.1062831461</v>
      </c>
      <c r="F73" s="371" t="n">
        <f aca="false">F62-F68</f>
        <v>53009.1114247191</v>
      </c>
      <c r="G73" s="308"/>
      <c r="H73" s="308"/>
      <c r="I73" s="313"/>
    </row>
    <row r="74" customFormat="false" ht="22.95" hidden="false" customHeight="true" outlineLevel="0" collapsed="false">
      <c r="B74" s="368"/>
      <c r="C74" s="372" t="s">
        <v>176</v>
      </c>
      <c r="D74" s="373" t="n">
        <f aca="false">D73/12</f>
        <v>1568.12221878902</v>
      </c>
      <c r="E74" s="373" t="n">
        <f aca="false">E73/12</f>
        <v>3079.34219026217</v>
      </c>
      <c r="F74" s="374" t="n">
        <f aca="false">F73/12</f>
        <v>4417.42595205993</v>
      </c>
      <c r="G74" s="312"/>
      <c r="H74" s="312"/>
      <c r="I74" s="313"/>
    </row>
    <row r="173" customFormat="false" ht="15" hidden="false" customHeight="false" outlineLevel="0" collapsed="false"/>
    <row r="174" customFormat="false" ht="15" hidden="false" customHeight="true" outlineLevel="0" collapsed="false">
      <c r="C174" s="327" t="s">
        <v>179</v>
      </c>
      <c r="D174" s="328" t="s">
        <v>180</v>
      </c>
      <c r="E174" s="329" t="s">
        <v>181</v>
      </c>
      <c r="F174" s="329" t="s">
        <v>182</v>
      </c>
      <c r="G174" s="329" t="s">
        <v>181</v>
      </c>
      <c r="H174" s="329" t="s">
        <v>183</v>
      </c>
      <c r="I174" s="329" t="s">
        <v>181</v>
      </c>
      <c r="J174" s="375" t="s">
        <v>184</v>
      </c>
      <c r="K174" s="376" t="s">
        <v>181</v>
      </c>
      <c r="L174" s="377"/>
      <c r="M174" s="377"/>
    </row>
    <row r="175" customFormat="false" ht="15" hidden="false" customHeight="false" outlineLevel="0" collapsed="false">
      <c r="C175" s="327"/>
      <c r="D175" s="328"/>
      <c r="E175" s="329"/>
      <c r="F175" s="329"/>
      <c r="G175" s="329"/>
      <c r="H175" s="329"/>
      <c r="I175" s="329"/>
      <c r="J175" s="375"/>
      <c r="K175" s="376"/>
      <c r="L175" s="377"/>
      <c r="M175" s="377"/>
    </row>
    <row r="176" customFormat="false" ht="16.2" hidden="false" customHeight="false" outlineLevel="0" collapsed="false">
      <c r="C176" s="330" t="n">
        <v>0.7</v>
      </c>
      <c r="D176" s="279" t="str">
        <f aca="false">D182*C176&amp;" (-30%)"</f>
        <v>0,553 (-30%)</v>
      </c>
      <c r="E176" s="331" t="n">
        <f aca="false">'Projections Recette 1'!D32*C176</f>
        <v>0</v>
      </c>
      <c r="F176" s="331" t="n">
        <f aca="false">E176-E182</f>
        <v>0</v>
      </c>
      <c r="G176" s="331" t="n">
        <f aca="false">'Projections Recette 1'!E34*C176</f>
        <v>0</v>
      </c>
      <c r="H176" s="331" t="n">
        <f aca="false">G176-G182</f>
        <v>0</v>
      </c>
      <c r="I176" s="331" t="n">
        <f aca="false">'Projections Recette 1'!F34*C176</f>
        <v>0</v>
      </c>
      <c r="J176" s="378" t="n">
        <f aca="false">I176-I182</f>
        <v>0</v>
      </c>
      <c r="K176" s="379" t="n">
        <f aca="false">'Projections Recette 1'!G34*C176</f>
        <v>0</v>
      </c>
      <c r="L176" s="380"/>
      <c r="M176" s="380"/>
    </row>
    <row r="177" customFormat="false" ht="16.2" hidden="false" customHeight="false" outlineLevel="0" collapsed="false">
      <c r="C177" s="330" t="n">
        <v>0.75</v>
      </c>
      <c r="D177" s="279" t="str">
        <f aca="false">D182*C177&amp;" (-25%)"</f>
        <v>0,5925 (-25%)</v>
      </c>
      <c r="E177" s="331" t="n">
        <f aca="false">'Projections Recette 1'!D32*C177</f>
        <v>0</v>
      </c>
      <c r="F177" s="331" t="n">
        <f aca="false">E177-E182</f>
        <v>0</v>
      </c>
      <c r="G177" s="331" t="n">
        <f aca="false">'Projections Recette 1'!E34*C177</f>
        <v>0</v>
      </c>
      <c r="H177" s="331" t="n">
        <f aca="false">G177-G182</f>
        <v>0</v>
      </c>
      <c r="I177" s="331" t="n">
        <f aca="false">'Projections Recette 1'!F34*C177</f>
        <v>0</v>
      </c>
      <c r="J177" s="378" t="n">
        <f aca="false">I177-I182</f>
        <v>0</v>
      </c>
      <c r="K177" s="379" t="n">
        <f aca="false">'Projections Recette 1'!G34*C177</f>
        <v>0</v>
      </c>
      <c r="L177" s="380"/>
      <c r="M177" s="380"/>
    </row>
    <row r="178" customFormat="false" ht="16.2" hidden="false" customHeight="false" outlineLevel="0" collapsed="false">
      <c r="C178" s="330" t="n">
        <v>0.8</v>
      </c>
      <c r="D178" s="279" t="str">
        <f aca="false">D182*C178&amp;" (-20%)"</f>
        <v>0,632 (-20%)</v>
      </c>
      <c r="E178" s="331" t="n">
        <f aca="false">'Projections Recette 1'!D32*C178</f>
        <v>0</v>
      </c>
      <c r="F178" s="331" t="n">
        <f aca="false">E178-E182</f>
        <v>0</v>
      </c>
      <c r="G178" s="331" t="n">
        <f aca="false">'Projections Recette 1'!E34*C178</f>
        <v>0</v>
      </c>
      <c r="H178" s="331" t="n">
        <f aca="false">G178-G182</f>
        <v>0</v>
      </c>
      <c r="I178" s="331" t="n">
        <f aca="false">'Projections Recette 1'!F34*C178</f>
        <v>0</v>
      </c>
      <c r="J178" s="378" t="n">
        <f aca="false">I178-I182</f>
        <v>0</v>
      </c>
      <c r="K178" s="379" t="n">
        <f aca="false">'Projections Recette 1'!G34*C178</f>
        <v>0</v>
      </c>
      <c r="L178" s="380"/>
      <c r="M178" s="380"/>
    </row>
    <row r="179" customFormat="false" ht="16.2" hidden="false" customHeight="false" outlineLevel="0" collapsed="false">
      <c r="C179" s="330" t="n">
        <v>0.85</v>
      </c>
      <c r="D179" s="279" t="str">
        <f aca="false">D182*C179&amp;" (-15%)"</f>
        <v>0,6715 (-15%)</v>
      </c>
      <c r="E179" s="331" t="n">
        <f aca="false">'Projections Recette 1'!D32*C179</f>
        <v>0</v>
      </c>
      <c r="F179" s="331" t="n">
        <f aca="false">E179-E182</f>
        <v>0</v>
      </c>
      <c r="G179" s="331" t="n">
        <f aca="false">'Projections Recette 1'!E34*C179</f>
        <v>0</v>
      </c>
      <c r="H179" s="331" t="n">
        <f aca="false">G179-G182</f>
        <v>0</v>
      </c>
      <c r="I179" s="331" t="n">
        <f aca="false">'Projections Recette 1'!F34*C179</f>
        <v>0</v>
      </c>
      <c r="J179" s="378" t="n">
        <f aca="false">I179-I182</f>
        <v>0</v>
      </c>
      <c r="K179" s="379" t="n">
        <f aca="false">'Projections Recette 1'!G34*C179</f>
        <v>0</v>
      </c>
      <c r="L179" s="380"/>
      <c r="M179" s="380"/>
    </row>
    <row r="180" customFormat="false" ht="16.2" hidden="false" customHeight="false" outlineLevel="0" collapsed="false">
      <c r="C180" s="330" t="n">
        <v>0.9</v>
      </c>
      <c r="D180" s="279" t="str">
        <f aca="false">D182*C180&amp;" (-10%)"</f>
        <v>0,711 (-10%)</v>
      </c>
      <c r="E180" s="331" t="n">
        <f aca="false">'Projections Recette 1'!D32*C180</f>
        <v>0</v>
      </c>
      <c r="F180" s="331" t="n">
        <f aca="false">E180-E182</f>
        <v>0</v>
      </c>
      <c r="G180" s="331" t="n">
        <f aca="false">'Projections Recette 1'!E34*C180</f>
        <v>0</v>
      </c>
      <c r="H180" s="331" t="n">
        <f aca="false">G180-G182</f>
        <v>0</v>
      </c>
      <c r="I180" s="331" t="n">
        <f aca="false">'Projections Recette 1'!F34*C180</f>
        <v>0</v>
      </c>
      <c r="J180" s="378" t="n">
        <f aca="false">I180-I182</f>
        <v>0</v>
      </c>
      <c r="K180" s="379" t="n">
        <f aca="false">'Projections Recette 1'!G34*C180</f>
        <v>0</v>
      </c>
      <c r="L180" s="380"/>
      <c r="M180" s="380"/>
    </row>
    <row r="181" customFormat="false" ht="16.2" hidden="false" customHeight="false" outlineLevel="0" collapsed="false">
      <c r="C181" s="330" t="n">
        <v>0.95</v>
      </c>
      <c r="D181" s="279" t="str">
        <f aca="false">D182*C181&amp;" (-5%)"</f>
        <v>0,7505 (-5%)</v>
      </c>
      <c r="E181" s="331" t="n">
        <f aca="false">'Projections Recette 1'!D32*C181</f>
        <v>0</v>
      </c>
      <c r="F181" s="331" t="n">
        <f aca="false">E181-E182</f>
        <v>0</v>
      </c>
      <c r="G181" s="331" t="n">
        <f aca="false">'Projections Recette 1'!E34*C181</f>
        <v>0</v>
      </c>
      <c r="H181" s="331" t="n">
        <f aca="false">G181-G182</f>
        <v>0</v>
      </c>
      <c r="I181" s="331" t="n">
        <f aca="false">'Projections Recette 1'!F34*C181</f>
        <v>0</v>
      </c>
      <c r="J181" s="378" t="n">
        <f aca="false">I181-I182</f>
        <v>0</v>
      </c>
      <c r="K181" s="379" t="n">
        <f aca="false">'Projections Recette 1'!G34*C181</f>
        <v>0</v>
      </c>
      <c r="L181" s="380"/>
      <c r="M181" s="380"/>
    </row>
    <row r="182" customFormat="false" ht="16.2" hidden="false" customHeight="false" outlineLevel="0" collapsed="false">
      <c r="C182" s="332" t="n">
        <v>1</v>
      </c>
      <c r="D182" s="333" t="n">
        <f aca="false">Donnees!C15</f>
        <v>0.79</v>
      </c>
      <c r="E182" s="334" t="n">
        <f aca="false">'Projections Recette 1'!D32*C182</f>
        <v>0</v>
      </c>
      <c r="F182" s="334" t="n">
        <f aca="false">E182-E182</f>
        <v>0</v>
      </c>
      <c r="G182" s="334" t="n">
        <f aca="false">'Projections Recette 1'!E34*C182</f>
        <v>0</v>
      </c>
      <c r="H182" s="334" t="n">
        <f aca="false">G182-G182</f>
        <v>0</v>
      </c>
      <c r="I182" s="334" t="n">
        <f aca="false">'Projections Recette 1'!F34*C182</f>
        <v>0</v>
      </c>
      <c r="J182" s="381" t="n">
        <f aca="false">I182-I182</f>
        <v>0</v>
      </c>
      <c r="K182" s="382" t="n">
        <f aca="false">'Projections Recette 1'!G34*C182</f>
        <v>0</v>
      </c>
      <c r="L182" s="380"/>
      <c r="M182" s="383"/>
    </row>
    <row r="183" customFormat="false" ht="16.2" hidden="false" customHeight="false" outlineLevel="0" collapsed="false">
      <c r="C183" s="330" t="n">
        <v>1.05</v>
      </c>
      <c r="D183" s="279" t="str">
        <f aca="false">D182*C183&amp;" (+5%)"</f>
        <v>0,8295 (+5%)</v>
      </c>
      <c r="E183" s="331" t="n">
        <f aca="false">'Projections Recette 1'!D32*C183</f>
        <v>0</v>
      </c>
      <c r="F183" s="331" t="n">
        <f aca="false">E183-E182</f>
        <v>0</v>
      </c>
      <c r="G183" s="331" t="n">
        <f aca="false">'Projections Recette 1'!E34*C183</f>
        <v>0</v>
      </c>
      <c r="H183" s="331" t="n">
        <f aca="false">G183-G182</f>
        <v>0</v>
      </c>
      <c r="I183" s="331" t="n">
        <f aca="false">'Projections Recette 1'!F34*C183</f>
        <v>0</v>
      </c>
      <c r="J183" s="378" t="n">
        <f aca="false">I183-I182</f>
        <v>0</v>
      </c>
      <c r="K183" s="379" t="n">
        <f aca="false">'Projections Recette 1'!G34*C183</f>
        <v>0</v>
      </c>
      <c r="L183" s="380"/>
      <c r="M183" s="380"/>
    </row>
    <row r="184" customFormat="false" ht="16.2" hidden="false" customHeight="false" outlineLevel="0" collapsed="false">
      <c r="C184" s="330" t="n">
        <v>1.1</v>
      </c>
      <c r="D184" s="279" t="str">
        <f aca="false">D182*C184&amp;" (+10%)"</f>
        <v>0,869 (+10%)</v>
      </c>
      <c r="E184" s="331" t="n">
        <f aca="false">'Projections Recette 1'!D32*C184</f>
        <v>0</v>
      </c>
      <c r="F184" s="331" t="n">
        <f aca="false">E184-E182</f>
        <v>0</v>
      </c>
      <c r="G184" s="331" t="n">
        <f aca="false">'Projections Recette 1'!E34*C184</f>
        <v>0</v>
      </c>
      <c r="H184" s="331" t="n">
        <f aca="false">G184-G182</f>
        <v>0</v>
      </c>
      <c r="I184" s="331" t="n">
        <f aca="false">'Projections Recette 1'!F34*C184</f>
        <v>0</v>
      </c>
      <c r="J184" s="378" t="n">
        <f aca="false">I184-I182</f>
        <v>0</v>
      </c>
      <c r="K184" s="379" t="n">
        <f aca="false">'Projections Recette 1'!G34*C184</f>
        <v>0</v>
      </c>
      <c r="L184" s="380"/>
      <c r="M184" s="380"/>
    </row>
    <row r="185" customFormat="false" ht="16.2" hidden="false" customHeight="false" outlineLevel="0" collapsed="false">
      <c r="C185" s="330" t="n">
        <v>1.15</v>
      </c>
      <c r="D185" s="279" t="str">
        <f aca="false">D182*C185&amp;" (+15%)"</f>
        <v>0,9085 (+15%)</v>
      </c>
      <c r="E185" s="331" t="n">
        <f aca="false">'Projections Recette 1'!D32*C185</f>
        <v>0</v>
      </c>
      <c r="F185" s="331" t="n">
        <f aca="false">E185-E182</f>
        <v>0</v>
      </c>
      <c r="G185" s="331" t="n">
        <f aca="false">'Projections Recette 1'!E34*C185</f>
        <v>0</v>
      </c>
      <c r="H185" s="331" t="n">
        <f aca="false">G185-G182</f>
        <v>0</v>
      </c>
      <c r="I185" s="331" t="n">
        <f aca="false">'Projections Recette 1'!F34*C185</f>
        <v>0</v>
      </c>
      <c r="J185" s="378" t="n">
        <f aca="false">I185-I182</f>
        <v>0</v>
      </c>
      <c r="K185" s="379" t="n">
        <f aca="false">'Projections Recette 1'!G34*C185</f>
        <v>0</v>
      </c>
      <c r="L185" s="380"/>
      <c r="M185" s="380"/>
    </row>
    <row r="186" customFormat="false" ht="16.2" hidden="false" customHeight="false" outlineLevel="0" collapsed="false">
      <c r="C186" s="330" t="n">
        <v>1.2</v>
      </c>
      <c r="D186" s="279" t="str">
        <f aca="false">D182*C186&amp;" (+20%)"</f>
        <v>0,948 (+20%)</v>
      </c>
      <c r="E186" s="331" t="n">
        <f aca="false">'Projections Recette 1'!D32*C186</f>
        <v>0</v>
      </c>
      <c r="F186" s="331" t="n">
        <f aca="false">E186-E182</f>
        <v>0</v>
      </c>
      <c r="G186" s="331" t="n">
        <f aca="false">'Projections Recette 1'!E34*C186</f>
        <v>0</v>
      </c>
      <c r="H186" s="331" t="n">
        <f aca="false">G186-G182</f>
        <v>0</v>
      </c>
      <c r="I186" s="331" t="n">
        <f aca="false">'Projections Recette 1'!F34*C186</f>
        <v>0</v>
      </c>
      <c r="J186" s="378" t="n">
        <f aca="false">I186-I182</f>
        <v>0</v>
      </c>
      <c r="K186" s="379" t="n">
        <f aca="false">'Projections Recette 1'!G34*C186</f>
        <v>0</v>
      </c>
      <c r="L186" s="380"/>
      <c r="M186" s="380"/>
    </row>
    <row r="187" customFormat="false" ht="16.2" hidden="false" customHeight="false" outlineLevel="0" collapsed="false">
      <c r="C187" s="330" t="n">
        <v>1.25</v>
      </c>
      <c r="D187" s="279" t="str">
        <f aca="false">D182*C187&amp;" (+25%)"</f>
        <v>0,9875 (+25%)</v>
      </c>
      <c r="E187" s="331" t="n">
        <f aca="false">'Projections Recette 1'!D32*C187</f>
        <v>0</v>
      </c>
      <c r="F187" s="331" t="n">
        <f aca="false">E187-E182</f>
        <v>0</v>
      </c>
      <c r="G187" s="331" t="n">
        <f aca="false">'Projections Recette 1'!E34*C187</f>
        <v>0</v>
      </c>
      <c r="H187" s="331" t="n">
        <f aca="false">G187-G182</f>
        <v>0</v>
      </c>
      <c r="I187" s="331" t="n">
        <f aca="false">'Projections Recette 1'!F34*C187</f>
        <v>0</v>
      </c>
      <c r="J187" s="378" t="n">
        <f aca="false">I187-I182</f>
        <v>0</v>
      </c>
      <c r="K187" s="379" t="n">
        <f aca="false">'Projections Recette 1'!G34*C187</f>
        <v>0</v>
      </c>
      <c r="L187" s="380"/>
      <c r="M187" s="380"/>
    </row>
    <row r="188" customFormat="false" ht="16.2" hidden="false" customHeight="false" outlineLevel="0" collapsed="false">
      <c r="C188" s="330" t="n">
        <v>1.3</v>
      </c>
      <c r="D188" s="279" t="str">
        <f aca="false">D182*C188&amp;" (+30%)"</f>
        <v>1,027 (+30%)</v>
      </c>
      <c r="E188" s="331" t="n">
        <f aca="false">'Projections Recette 1'!D32*C188</f>
        <v>0</v>
      </c>
      <c r="F188" s="331" t="n">
        <f aca="false">E188-E182</f>
        <v>0</v>
      </c>
      <c r="G188" s="331" t="n">
        <f aca="false">'Projections Recette 1'!E34*C188</f>
        <v>0</v>
      </c>
      <c r="H188" s="331" t="n">
        <f aca="false">G188-G182</f>
        <v>0</v>
      </c>
      <c r="I188" s="331" t="n">
        <f aca="false">'Projections Recette 1'!F34*C188</f>
        <v>0</v>
      </c>
      <c r="J188" s="378" t="n">
        <f aca="false">I188-I182</f>
        <v>0</v>
      </c>
      <c r="K188" s="379" t="n">
        <f aca="false">'Projections Recette 1'!G34*C188</f>
        <v>0</v>
      </c>
      <c r="L188" s="380"/>
      <c r="M188" s="380"/>
    </row>
  </sheetData>
  <sheetProtection algorithmName="SHA-512" hashValue="SBUtkGGsY+ONKXuc/fe89Kajq48MF36L1J6ehIteINXozY50HLBSXO1oHJTng0yH9aKnhoK51pgXVA2RhnfMrw==" saltValue="YflOB+4z30/wGlzwI2xh9g==" spinCount="100000" sheet="true" objects="true" scenarios="true"/>
  <mergeCells count="49">
    <mergeCell ref="A1:K1"/>
    <mergeCell ref="B3:I3"/>
    <mergeCell ref="B4:C4"/>
    <mergeCell ref="B5:B8"/>
    <mergeCell ref="H5:H8"/>
    <mergeCell ref="I5:I8"/>
    <mergeCell ref="B9:B12"/>
    <mergeCell ref="H9:H12"/>
    <mergeCell ref="I9:I12"/>
    <mergeCell ref="B13:B22"/>
    <mergeCell ref="H13:H22"/>
    <mergeCell ref="I13:I22"/>
    <mergeCell ref="B23:B27"/>
    <mergeCell ref="H23:H27"/>
    <mergeCell ref="I23:I27"/>
    <mergeCell ref="J30:J33"/>
    <mergeCell ref="C32:D32"/>
    <mergeCell ref="E32:F32"/>
    <mergeCell ref="E33:F33"/>
    <mergeCell ref="E34:F34"/>
    <mergeCell ref="J34:J35"/>
    <mergeCell ref="E35:F35"/>
    <mergeCell ref="E36:F36"/>
    <mergeCell ref="E37:F37"/>
    <mergeCell ref="E38:F38"/>
    <mergeCell ref="E39:F39"/>
    <mergeCell ref="E40:F40"/>
    <mergeCell ref="E41:F41"/>
    <mergeCell ref="C43:F43"/>
    <mergeCell ref="C49:G49"/>
    <mergeCell ref="E51:E53"/>
    <mergeCell ref="B55:F55"/>
    <mergeCell ref="B57:B63"/>
    <mergeCell ref="D60:F60"/>
    <mergeCell ref="B64:F64"/>
    <mergeCell ref="B65:B68"/>
    <mergeCell ref="B69:B70"/>
    <mergeCell ref="B71:F71"/>
    <mergeCell ref="B73:B74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</mergeCells>
  <conditionalFormatting sqref="I5:I27 G5:G27">
    <cfRule type="cellIs" priority="2" operator="between" aboveAverage="0" equalAverage="0" bottom="0" percent="0" rank="0" text="" dxfId="2">
      <formula>5</formula>
      <formula>15</formula>
    </cfRule>
    <cfRule type="cellIs" priority="3" operator="greaterThan" aboveAverage="0" equalAverage="0" bottom="0" percent="0" rank="0" text="" dxfId="3">
      <formula>15</formula>
    </cfRule>
  </conditionalFormatting>
  <conditionalFormatting sqref="D72:H74">
    <cfRule type="containsText" priority="4" operator="containsText" aboveAverage="0" equalAverage="0" bottom="0" percent="0" rank="0" text="IMPOSSIBLE" dxfId="4">
      <formula>NOT(ISERROR(SEARCH("IMPOSSIBLE",D72)))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4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4.55"/>
    <col collapsed="false" customWidth="true" hidden="false" outlineLevel="0" max="3" min="3" style="0" width="44.22"/>
    <col collapsed="false" customWidth="true" hidden="false" outlineLevel="0" max="4" min="4" style="0" width="22.66"/>
    <col collapsed="false" customWidth="true" hidden="false" outlineLevel="0" max="5" min="5" style="0" width="18.89"/>
    <col collapsed="false" customWidth="true" hidden="false" outlineLevel="0" max="6" min="6" style="0" width="20.89"/>
    <col collapsed="false" customWidth="true" hidden="false" outlineLevel="0" max="7" min="7" style="0" width="19.89"/>
    <col collapsed="false" customWidth="true" hidden="false" outlineLevel="0" max="8" min="8" style="0" width="21.66"/>
    <col collapsed="false" customWidth="true" hidden="false" outlineLevel="0" max="9" min="9" style="0" width="20.11"/>
    <col collapsed="false" customWidth="true" hidden="false" outlineLevel="0" max="10" min="10" style="0" width="14.01"/>
    <col collapsed="false" customWidth="true" hidden="false" outlineLevel="0" max="11" min="11" style="0" width="16"/>
    <col collapsed="false" customWidth="true" hidden="false" outlineLevel="0" max="12" min="12" style="0" width="16.33"/>
    <col collapsed="false" customWidth="true" hidden="false" outlineLevel="0" max="13" min="13" style="0" width="9.78"/>
    <col collapsed="false" customWidth="true" hidden="false" outlineLevel="0" max="14" min="14" style="0" width="20.78"/>
  </cols>
  <sheetData>
    <row r="1" customFormat="false" ht="23.4" hidden="false" customHeight="true" outlineLevel="0" collapsed="false">
      <c r="A1" s="144" t="str">
        <f aca="false">"Projections recette "&amp;Donnees!E6</f>
        <v>Projections recette La blanche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customFormat="false" ht="48.6" hidden="false" customHeight="true" outlineLevel="0" collapsed="false">
      <c r="C2" s="145"/>
      <c r="D2" s="145"/>
      <c r="E2" s="145"/>
      <c r="F2" s="145"/>
      <c r="G2" s="146" t="s">
        <v>124</v>
      </c>
      <c r="H2" s="145"/>
    </row>
    <row r="3" customFormat="false" ht="27.6" hidden="false" customHeight="true" outlineLevel="0" collapsed="false">
      <c r="B3" s="147" t="s">
        <v>125</v>
      </c>
      <c r="C3" s="147"/>
      <c r="D3" s="147"/>
      <c r="E3" s="147"/>
      <c r="F3" s="147"/>
      <c r="G3" s="147"/>
      <c r="H3" s="147"/>
      <c r="I3" s="147"/>
    </row>
    <row r="4" customFormat="false" ht="35.4" hidden="false" customHeight="true" outlineLevel="0" collapsed="false">
      <c r="B4" s="148" t="s">
        <v>126</v>
      </c>
      <c r="C4" s="148"/>
      <c r="D4" s="336" t="s">
        <v>127</v>
      </c>
      <c r="E4" s="337" t="s">
        <v>128</v>
      </c>
      <c r="F4" s="337" t="s">
        <v>129</v>
      </c>
      <c r="G4" s="338" t="s">
        <v>130</v>
      </c>
      <c r="H4" s="148" t="s">
        <v>131</v>
      </c>
      <c r="I4" s="148" t="s">
        <v>192</v>
      </c>
    </row>
    <row r="5" customFormat="false" ht="23.4" hidden="false" customHeight="true" outlineLevel="0" collapsed="false">
      <c r="B5" s="339" t="s">
        <v>65</v>
      </c>
      <c r="C5" s="340" t="str">
        <f aca="false">"Bouteilles contenance "&amp;Donnees!E42&amp;" cl"</f>
        <v>Bouteilles contenance 0.33 cl</v>
      </c>
      <c r="D5" s="155" t="n">
        <f aca="false">Donnees!E44</f>
        <v>0.2</v>
      </c>
      <c r="E5" s="156" t="n">
        <f aca="false">ROUNDDOWN(((Donnees!E43*Donnees!E10)/100)/Donnees!E42,0)*((100-Donnees!E48)/100)</f>
        <v>174</v>
      </c>
      <c r="F5" s="384" t="n">
        <f aca="false">(D5*E5)</f>
        <v>34.8</v>
      </c>
      <c r="G5" s="158" t="n">
        <f aca="false">(F5*100)/D33</f>
        <v>14.3308403969974</v>
      </c>
      <c r="H5" s="159" t="n">
        <f aca="false">SUM(F5:F8)</f>
        <v>49.445</v>
      </c>
      <c r="I5" s="160" t="n">
        <f aca="false">SUM(G5:G8)</f>
        <v>20.3617357307338</v>
      </c>
    </row>
    <row r="6" customFormat="false" ht="21.6" hidden="false" customHeight="true" outlineLevel="0" collapsed="false">
      <c r="B6" s="339"/>
      <c r="C6" s="161" t="str">
        <f aca="false">"Etiquettes bouteilles contenance "&amp;Donnees!E42&amp;" cl"</f>
        <v>Etiquettes bouteilles contenance 0.33 cl</v>
      </c>
      <c r="D6" s="162" t="n">
        <f aca="false">Donnees!E45</f>
        <v>0.04</v>
      </c>
      <c r="E6" s="163" t="n">
        <f aca="false">ROUNDDOWN(((Donnees!E43*Donnees!E10)/100)/Donnees!E42,0)</f>
        <v>174</v>
      </c>
      <c r="F6" s="385" t="n">
        <f aca="false">(D6*E6)</f>
        <v>6.96</v>
      </c>
      <c r="G6" s="165" t="n">
        <f aca="false">(F6*100)/D33</f>
        <v>2.86616807939948</v>
      </c>
      <c r="H6" s="159"/>
      <c r="I6" s="160"/>
    </row>
    <row r="7" customFormat="false" ht="21.6" hidden="false" customHeight="true" outlineLevel="0" collapsed="false">
      <c r="B7" s="339"/>
      <c r="C7" s="161" t="str">
        <f aca="false">"Capsules bouteilles contenance "&amp;Donnees!E42&amp;" cl"</f>
        <v>Capsules bouteilles contenance 0.33 cl</v>
      </c>
      <c r="D7" s="162" t="n">
        <f aca="false">Donnees!E46</f>
        <v>0.04</v>
      </c>
      <c r="E7" s="163" t="n">
        <f aca="false">ROUNDDOWN(((Donnees!E43*Donnees!E10)/100)/Donnees!E42,0)</f>
        <v>174</v>
      </c>
      <c r="F7" s="385" t="n">
        <f aca="false">D7*E7</f>
        <v>6.96</v>
      </c>
      <c r="G7" s="165" t="n">
        <f aca="false">(F7*100)/D33</f>
        <v>2.86616807939948</v>
      </c>
      <c r="H7" s="159"/>
      <c r="I7" s="160"/>
    </row>
    <row r="8" customFormat="false" ht="21" hidden="false" customHeight="true" outlineLevel="0" collapsed="false">
      <c r="B8" s="339"/>
      <c r="C8" s="166" t="s">
        <v>133</v>
      </c>
      <c r="D8" s="167" t="n">
        <f aca="false">Donnees!E49</f>
        <v>0.1</v>
      </c>
      <c r="E8" s="168" t="n">
        <f aca="false">E7/Donnees!E50</f>
        <v>7.25</v>
      </c>
      <c r="F8" s="386" t="n">
        <f aca="false">E8*D8</f>
        <v>0.725</v>
      </c>
      <c r="G8" s="170" t="n">
        <f aca="false">(F8*100)/D33</f>
        <v>0.298559174937446</v>
      </c>
      <c r="H8" s="159"/>
      <c r="I8" s="160"/>
    </row>
    <row r="9" customFormat="false" ht="25.2" hidden="false" customHeight="true" outlineLevel="0" collapsed="false">
      <c r="B9" s="171" t="s">
        <v>81</v>
      </c>
      <c r="C9" s="172" t="str">
        <f aca="false">"Bouteilles contenance "&amp;Donnees!E51&amp;" cl"</f>
        <v>Bouteilles contenance 0.75 cl</v>
      </c>
      <c r="D9" s="155" t="n">
        <f aca="false">Donnees!E53</f>
        <v>0.4</v>
      </c>
      <c r="E9" s="173" t="n">
        <f aca="false">ROUNDDOWN(((Donnees!E52*Donnees!E10)/100)/Donnees!E51,0)*((100-Donnees!E57)/100)</f>
        <v>19</v>
      </c>
      <c r="F9" s="384" t="n">
        <f aca="false">E9*D9</f>
        <v>7.6</v>
      </c>
      <c r="G9" s="158" t="n">
        <f aca="false">(F9*100)/D33</f>
        <v>3.1297237648615</v>
      </c>
      <c r="H9" s="159" t="n">
        <f aca="false">SUM(F9:F12)</f>
        <v>10.07</v>
      </c>
      <c r="I9" s="160" t="n">
        <f aca="false">SUM(G9:G12)</f>
        <v>4.14688398844149</v>
      </c>
    </row>
    <row r="10" customFormat="false" ht="21" hidden="false" customHeight="true" outlineLevel="0" collapsed="false">
      <c r="B10" s="171"/>
      <c r="C10" s="174" t="str">
        <f aca="false">"Etiquettes bouteilles contenance "&amp;Donnees!E51&amp;" cl"</f>
        <v>Etiquettes bouteilles contenance 0.75 cl</v>
      </c>
      <c r="D10" s="162" t="n">
        <f aca="false">Donnees!E54</f>
        <v>0.06</v>
      </c>
      <c r="E10" s="163" t="n">
        <f aca="false">ROUNDDOWN(((Donnees!E52*Donnees!E10)/100)/Donnees!E51,0)</f>
        <v>19</v>
      </c>
      <c r="F10" s="385" t="n">
        <f aca="false">D10*E10</f>
        <v>1.14</v>
      </c>
      <c r="G10" s="165" t="n">
        <f aca="false">(F10*100)/D33</f>
        <v>0.469458564729225</v>
      </c>
      <c r="H10" s="159"/>
      <c r="I10" s="160"/>
    </row>
    <row r="11" customFormat="false" ht="21" hidden="false" customHeight="true" outlineLevel="0" collapsed="false">
      <c r="B11" s="171"/>
      <c r="C11" s="174" t="str">
        <f aca="false">"Capsules bouteilles contenance "&amp;Donnees!E51&amp;" cl"</f>
        <v>Capsules bouteilles contenance 0.75 cl</v>
      </c>
      <c r="D11" s="162" t="n">
        <f aca="false">Donnees!E55</f>
        <v>0.05</v>
      </c>
      <c r="E11" s="163" t="n">
        <f aca="false">ROUNDDOWN(((Donnees!E52*Donnees!E10)/100)/Donnees!E51,0)</f>
        <v>19</v>
      </c>
      <c r="F11" s="385" t="n">
        <f aca="false">D11*E11</f>
        <v>0.95</v>
      </c>
      <c r="G11" s="165" t="n">
        <f aca="false">(F11*100)/D33</f>
        <v>0.391215470607688</v>
      </c>
      <c r="H11" s="159"/>
      <c r="I11" s="160"/>
    </row>
    <row r="12" customFormat="false" ht="21" hidden="false" customHeight="true" outlineLevel="0" collapsed="false">
      <c r="B12" s="171"/>
      <c r="C12" s="176" t="s">
        <v>133</v>
      </c>
      <c r="D12" s="167" t="n">
        <f aca="false">Donnees!E58</f>
        <v>0.12</v>
      </c>
      <c r="E12" s="387" t="n">
        <f aca="false">E10/Donnees!E59</f>
        <v>3.16666666666667</v>
      </c>
      <c r="F12" s="388" t="n">
        <f aca="false">E12*D12</f>
        <v>0.38</v>
      </c>
      <c r="G12" s="170" t="n">
        <f aca="false">(F12*100)/D33</f>
        <v>0.156486188243075</v>
      </c>
      <c r="H12" s="159"/>
      <c r="I12" s="160"/>
    </row>
    <row r="13" customFormat="false" ht="21" hidden="false" customHeight="true" outlineLevel="0" collapsed="false">
      <c r="B13" s="179" t="s">
        <v>134</v>
      </c>
      <c r="C13" s="180" t="s">
        <v>135</v>
      </c>
      <c r="D13" s="155" t="n">
        <f aca="false">Donnees!E15</f>
        <v>1</v>
      </c>
      <c r="E13" s="156" t="n">
        <f aca="false">Donnees!E16</f>
        <v>40</v>
      </c>
      <c r="F13" s="384" t="n">
        <f aca="false">(D13*E13)</f>
        <v>40</v>
      </c>
      <c r="G13" s="158" t="n">
        <f aca="false">(F13*100)/D33</f>
        <v>16.4722303413763</v>
      </c>
      <c r="H13" s="181" t="n">
        <f aca="false">SUM(F13:F22)</f>
        <v>131.866</v>
      </c>
      <c r="I13" s="160" t="n">
        <f aca="false">SUM(G13:G22)</f>
        <v>54.3031781548983</v>
      </c>
    </row>
    <row r="14" customFormat="false" ht="21" hidden="false" customHeight="true" outlineLevel="0" collapsed="false">
      <c r="B14" s="179"/>
      <c r="C14" s="182" t="s">
        <v>136</v>
      </c>
      <c r="D14" s="162" t="n">
        <f aca="false">Donnees!E20</f>
        <v>5</v>
      </c>
      <c r="E14" s="163" t="n">
        <f aca="false">Donnees!E19</f>
        <v>1.5</v>
      </c>
      <c r="F14" s="385" t="n">
        <f aca="false">E14*D14</f>
        <v>7.5</v>
      </c>
      <c r="G14" s="165" t="n">
        <f aca="false">(F14*100)/D33</f>
        <v>3.08854318900806</v>
      </c>
      <c r="H14" s="181"/>
      <c r="I14" s="160"/>
    </row>
    <row r="15" customFormat="false" ht="21" hidden="false" customHeight="true" outlineLevel="0" collapsed="false">
      <c r="B15" s="179"/>
      <c r="C15" s="182" t="s">
        <v>137</v>
      </c>
      <c r="D15" s="162" t="n">
        <f aca="false">Donnees!E37</f>
        <v>3.11</v>
      </c>
      <c r="E15" s="163" t="n">
        <f aca="false">Donnees!E7/1000+50%</f>
        <v>0.6</v>
      </c>
      <c r="F15" s="385" t="n">
        <f aca="false">(D15*E15)</f>
        <v>1.866</v>
      </c>
      <c r="G15" s="165" t="n">
        <f aca="false">(F15*100)/D33</f>
        <v>0.768429545425206</v>
      </c>
      <c r="H15" s="181"/>
      <c r="I15" s="160"/>
    </row>
    <row r="16" customFormat="false" ht="21" hidden="false" customHeight="true" outlineLevel="0" collapsed="false">
      <c r="B16" s="179"/>
      <c r="C16" s="182" t="s">
        <v>138</v>
      </c>
      <c r="D16" s="162" t="n">
        <f aca="false">Donnees!E38</f>
        <v>1</v>
      </c>
      <c r="E16" s="163" t="n">
        <f aca="false">D16*Donnees!E39</f>
        <v>1</v>
      </c>
      <c r="F16" s="385" t="n">
        <f aca="false">(D16*E16)</f>
        <v>1</v>
      </c>
      <c r="G16" s="165" t="n">
        <f aca="false">(F16*100)/D33</f>
        <v>0.411805758534408</v>
      </c>
      <c r="H16" s="181"/>
      <c r="I16" s="160"/>
    </row>
    <row r="17" customFormat="false" ht="21" hidden="false" customHeight="true" outlineLevel="0" collapsed="false">
      <c r="B17" s="179"/>
      <c r="C17" s="182" t="s">
        <v>139</v>
      </c>
      <c r="D17" s="162" t="n">
        <f aca="false">Donnees!E40</f>
        <v>100</v>
      </c>
      <c r="E17" s="163" t="n">
        <f aca="false">Donnees!E41</f>
        <v>0.1</v>
      </c>
      <c r="F17" s="385" t="n">
        <f aca="false">(D17*E17)</f>
        <v>10</v>
      </c>
      <c r="G17" s="165" t="n">
        <f aca="false">(F17*100)/D33</f>
        <v>4.11805758534408</v>
      </c>
      <c r="H17" s="181"/>
      <c r="I17" s="160"/>
    </row>
    <row r="18" customFormat="false" ht="21" hidden="false" customHeight="true" outlineLevel="0" collapsed="false">
      <c r="B18" s="179"/>
      <c r="C18" s="182" t="s">
        <v>140</v>
      </c>
      <c r="D18" s="162" t="n">
        <f aca="false">Donnees!E21</f>
        <v>42</v>
      </c>
      <c r="E18" s="163" t="n">
        <f aca="false">Donnees!E24</f>
        <v>1</v>
      </c>
      <c r="F18" s="385" t="n">
        <f aca="false">(D18*E18)</f>
        <v>42</v>
      </c>
      <c r="G18" s="165" t="n">
        <f aca="false">(F18*100)/D33</f>
        <v>17.2958418584451</v>
      </c>
      <c r="H18" s="181"/>
      <c r="I18" s="160"/>
    </row>
    <row r="19" customFormat="false" ht="21" hidden="false" customHeight="true" outlineLevel="0" collapsed="false">
      <c r="B19" s="179"/>
      <c r="C19" s="183" t="str">
        <f aca="false">"Epices / Aromes "&amp;Donnees!E27</f>
        <v>Epices / Aromes Amandes</v>
      </c>
      <c r="D19" s="184" t="n">
        <f aca="false">Donnees!E28</f>
        <v>30</v>
      </c>
      <c r="E19" s="185" t="n">
        <f aca="false">Donnees!E29</f>
        <v>0.3</v>
      </c>
      <c r="F19" s="389" t="n">
        <f aca="false">D19*E19</f>
        <v>9</v>
      </c>
      <c r="G19" s="187" t="n">
        <f aca="false">(F19*100)/D33</f>
        <v>3.70625182680967</v>
      </c>
      <c r="H19" s="181"/>
      <c r="I19" s="160"/>
    </row>
    <row r="20" customFormat="false" ht="21" hidden="false" customHeight="true" outlineLevel="0" collapsed="false">
      <c r="B20" s="179"/>
      <c r="C20" s="183" t="str">
        <f aca="false">"Epices / Aromes "&amp;Donnees!E32</f>
        <v>Epices / Aromes Coriandre</v>
      </c>
      <c r="D20" s="184" t="n">
        <f aca="false">Donnees!E31</f>
        <v>40</v>
      </c>
      <c r="E20" s="185" t="n">
        <f aca="false">Donnees!E33</f>
        <v>0.1</v>
      </c>
      <c r="F20" s="389" t="n">
        <f aca="false">D20*E20</f>
        <v>4</v>
      </c>
      <c r="G20" s="187" t="n">
        <f aca="false">(F20*100)/D33</f>
        <v>1.64722303413763</v>
      </c>
      <c r="H20" s="181"/>
      <c r="I20" s="160"/>
    </row>
    <row r="21" customFormat="false" ht="21" hidden="false" customHeight="true" outlineLevel="0" collapsed="false">
      <c r="B21" s="179"/>
      <c r="C21" s="183" t="str">
        <f aca="false">"Epices / Aromes "&amp;Donnees!E35</f>
        <v>Epices / Aromes Cannelle</v>
      </c>
      <c r="D21" s="184" t="n">
        <f aca="false">Donnees!E34</f>
        <v>30</v>
      </c>
      <c r="E21" s="185" t="n">
        <f aca="false">Donnees!E36</f>
        <v>0.4</v>
      </c>
      <c r="F21" s="389" t="n">
        <f aca="false">D21*E21</f>
        <v>12</v>
      </c>
      <c r="G21" s="187" t="n">
        <f aca="false">(F21*100)/D33</f>
        <v>4.9416691024129</v>
      </c>
      <c r="H21" s="181"/>
      <c r="I21" s="160"/>
    </row>
    <row r="22" customFormat="false" ht="21" hidden="false" customHeight="true" outlineLevel="0" collapsed="false">
      <c r="B22" s="179"/>
      <c r="C22" s="188" t="s">
        <v>141</v>
      </c>
      <c r="D22" s="189" t="n">
        <f aca="false">Donnees!E26</f>
        <v>0.3</v>
      </c>
      <c r="E22" s="190" t="n">
        <f aca="false">Donnees!E25</f>
        <v>15</v>
      </c>
      <c r="F22" s="386" t="n">
        <f aca="false">E22*D22</f>
        <v>4.5</v>
      </c>
      <c r="G22" s="170" t="n">
        <f aca="false">(F22*100)/D33</f>
        <v>1.85312591340484</v>
      </c>
      <c r="H22" s="181"/>
      <c r="I22" s="160"/>
    </row>
    <row r="23" customFormat="false" ht="21" hidden="false" customHeight="true" outlineLevel="0" collapsed="false">
      <c r="B23" s="191" t="s">
        <v>89</v>
      </c>
      <c r="C23" s="192" t="s">
        <v>142</v>
      </c>
      <c r="D23" s="156" t="n">
        <f aca="false">3.7*((Donnees!E10)/100)*Donnees!E12</f>
        <v>23.976</v>
      </c>
      <c r="E23" s="156" t="n">
        <v>1</v>
      </c>
      <c r="F23" s="384" t="n">
        <f aca="false">(D23*E23)</f>
        <v>23.976</v>
      </c>
      <c r="G23" s="158" t="n">
        <f aca="false">(F23*100)/D33</f>
        <v>9.87345486662097</v>
      </c>
      <c r="H23" s="181" t="n">
        <f aca="false">SUM(F23:F27)</f>
        <v>51.4519325842697</v>
      </c>
      <c r="I23" s="160" t="n">
        <f aca="false">SUM(G23:G27)</f>
        <v>21.1882021259264</v>
      </c>
    </row>
    <row r="24" customFormat="false" ht="17.4" hidden="false" customHeight="true" outlineLevel="0" collapsed="false">
      <c r="B24" s="191"/>
      <c r="C24" s="193" t="s">
        <v>143</v>
      </c>
      <c r="D24" s="163" t="n">
        <f aca="false">Donnees!E61</f>
        <v>20</v>
      </c>
      <c r="E24" s="163" t="n">
        <f aca="false">(Donnees!E64*Donnees!E63)/Donnees!E62</f>
        <v>0.842696629213483</v>
      </c>
      <c r="F24" s="385" t="n">
        <f aca="false">(D24*E24)</f>
        <v>16.8539325842697</v>
      </c>
      <c r="G24" s="165" t="n">
        <f aca="false">(F24*100)/D33</f>
        <v>6.94054649215295</v>
      </c>
      <c r="H24" s="181"/>
      <c r="I24" s="160"/>
    </row>
    <row r="25" customFormat="false" ht="17.4" hidden="false" customHeight="true" outlineLevel="0" collapsed="false">
      <c r="B25" s="191"/>
      <c r="C25" s="194" t="s">
        <v>144</v>
      </c>
      <c r="D25" s="185" t="n">
        <f aca="false">Donnees!E65</f>
        <v>20</v>
      </c>
      <c r="E25" s="185" t="n">
        <f aca="false">Donnees!E85</f>
        <v>0</v>
      </c>
      <c r="F25" s="389" t="n">
        <f aca="false">D25*E25</f>
        <v>0</v>
      </c>
      <c r="G25" s="195" t="n">
        <f aca="false">(F25*100)/D33</f>
        <v>0</v>
      </c>
      <c r="H25" s="181"/>
      <c r="I25" s="160"/>
    </row>
    <row r="26" customFormat="false" ht="17.4" hidden="false" customHeight="true" outlineLevel="0" collapsed="false">
      <c r="B26" s="191"/>
      <c r="C26" s="194" t="s">
        <v>145</v>
      </c>
      <c r="D26" s="185" t="n">
        <f aca="false">Donnees!E37</f>
        <v>3.11</v>
      </c>
      <c r="E26" s="185" t="n">
        <f aca="false">Donnees!E60/1000</f>
        <v>0.2</v>
      </c>
      <c r="F26" s="389" t="n">
        <f aca="false">D26*E26</f>
        <v>0.622</v>
      </c>
      <c r="G26" s="195" t="n">
        <f aca="false">(F26*100)/D33</f>
        <v>0.256143181808402</v>
      </c>
      <c r="H26" s="181"/>
      <c r="I26" s="160"/>
    </row>
    <row r="27" customFormat="false" ht="21" hidden="false" customHeight="true" outlineLevel="0" collapsed="false">
      <c r="B27" s="191"/>
      <c r="C27" s="196" t="s">
        <v>146</v>
      </c>
      <c r="D27" s="197" t="n">
        <f aca="false">Donnees!E13</f>
        <v>10</v>
      </c>
      <c r="E27" s="197" t="n">
        <v>1</v>
      </c>
      <c r="F27" s="390" t="n">
        <f aca="false">D27*E27</f>
        <v>10</v>
      </c>
      <c r="G27" s="198" t="n">
        <f aca="false">(F27*100)/D33</f>
        <v>4.11805758534408</v>
      </c>
      <c r="H27" s="181"/>
      <c r="I27" s="160"/>
    </row>
    <row r="28" customFormat="false" ht="32.4" hidden="false" customHeight="true" outlineLevel="0" collapsed="false">
      <c r="C28" s="199"/>
      <c r="D28" s="200"/>
      <c r="E28" s="200"/>
      <c r="F28" s="201"/>
      <c r="G28" s="201"/>
      <c r="H28" s="202"/>
    </row>
    <row r="29" customFormat="false" ht="21" hidden="false" customHeight="true" outlineLevel="0" collapsed="false">
      <c r="C29" s="203" t="str">
        <f aca="false">"Reventes bouteilles "&amp;Donnees!E42&amp;" cl"</f>
        <v>Reventes bouteilles 0.33 cl</v>
      </c>
      <c r="D29" s="204" t="n">
        <f aca="false">Donnees!E47</f>
        <v>1.8</v>
      </c>
      <c r="E29" s="158" t="n">
        <f aca="false">ROUNDDOWN(((Donnees!E43*Donnees!E10)/100)/Donnees!E42,0)</f>
        <v>174</v>
      </c>
      <c r="F29" s="205" t="n">
        <f aca="false">E29*D29</f>
        <v>313.2</v>
      </c>
      <c r="G29" s="201"/>
      <c r="H29" s="206"/>
    </row>
    <row r="30" customFormat="false" ht="21" hidden="false" customHeight="true" outlineLevel="0" collapsed="false">
      <c r="B30" s="207"/>
      <c r="C30" s="208" t="str">
        <f aca="false">"Reventes bouteilles "&amp;Donnees!E51&amp;" cl"</f>
        <v>Reventes bouteilles 0.75 cl</v>
      </c>
      <c r="D30" s="209" t="n">
        <f aca="false">Donnees!E56</f>
        <v>3.2</v>
      </c>
      <c r="E30" s="170" t="n">
        <f aca="false">ROUNDDOWN(((Donnees!E52*Donnees!E10)/100)/Donnees!E51,0)</f>
        <v>19</v>
      </c>
      <c r="F30" s="210" t="n">
        <f aca="false">D30*E30</f>
        <v>60.8</v>
      </c>
      <c r="G30" s="201"/>
      <c r="H30" s="206"/>
      <c r="J30" s="211"/>
    </row>
    <row r="31" customFormat="false" ht="21" hidden="false" customHeight="true" outlineLevel="0" collapsed="false">
      <c r="B31" s="207"/>
      <c r="C31" s="199"/>
      <c r="D31" s="200"/>
      <c r="E31" s="212"/>
      <c r="F31" s="201"/>
      <c r="G31" s="201"/>
      <c r="H31" s="206"/>
      <c r="J31" s="211"/>
    </row>
    <row r="32" customFormat="false" ht="21" hidden="false" customHeight="true" outlineLevel="0" collapsed="false">
      <c r="B32" s="207"/>
      <c r="C32" s="213" t="s">
        <v>147</v>
      </c>
      <c r="D32" s="213"/>
      <c r="E32" s="214"/>
      <c r="F32" s="214"/>
      <c r="G32" s="201"/>
      <c r="H32" s="206"/>
      <c r="J32" s="211"/>
    </row>
    <row r="33" customFormat="false" ht="24" hidden="false" customHeight="true" outlineLevel="0" collapsed="false">
      <c r="C33" s="391" t="s">
        <v>148</v>
      </c>
      <c r="D33" s="216" t="n">
        <f aca="false">SUM(F5:F27)</f>
        <v>242.83293258427</v>
      </c>
      <c r="E33" s="217"/>
      <c r="F33" s="217"/>
      <c r="G33" s="200"/>
      <c r="H33" s="200"/>
      <c r="J33" s="211"/>
    </row>
    <row r="34" customFormat="false" ht="24" hidden="false" customHeight="true" outlineLevel="0" collapsed="false">
      <c r="C34" s="392" t="s">
        <v>149</v>
      </c>
      <c r="D34" s="219" t="n">
        <f aca="false">F29+F30</f>
        <v>374</v>
      </c>
      <c r="E34" s="217"/>
      <c r="F34" s="217"/>
      <c r="G34" s="200"/>
      <c r="H34" s="200"/>
      <c r="J34" s="211"/>
    </row>
    <row r="35" customFormat="false" ht="24" hidden="false" customHeight="true" outlineLevel="0" collapsed="false">
      <c r="C35" s="393" t="s">
        <v>154</v>
      </c>
      <c r="D35" s="221" t="n">
        <f aca="false">D34-D33</f>
        <v>131.16706741573</v>
      </c>
      <c r="E35" s="222"/>
      <c r="F35" s="222"/>
      <c r="G35" s="200"/>
      <c r="H35" s="200"/>
      <c r="J35" s="211"/>
    </row>
    <row r="36" customFormat="false" ht="24" hidden="false" customHeight="true" outlineLevel="0" collapsed="false">
      <c r="C36" s="223" t="str">
        <f aca="false">"Cout de production bouteilles "&amp;Donnees!E42&amp;" l"</f>
        <v>Cout de production bouteilles 0.33 l</v>
      </c>
      <c r="D36" s="224" t="n">
        <f aca="false">IF(F5&gt;=1,SUM(F5:F5,F16:F27)*(Donnees!E43/100)/F29,0)</f>
        <v>0.431039419116909</v>
      </c>
      <c r="E36" s="222"/>
      <c r="F36" s="222"/>
      <c r="G36" s="200"/>
      <c r="H36" s="200"/>
    </row>
    <row r="37" customFormat="false" ht="24" hidden="false" customHeight="true" outlineLevel="0" collapsed="false">
      <c r="C37" s="223" t="str">
        <f aca="false">"Marge bouteilles "&amp;Donnees!E42&amp;" l"</f>
        <v>Marge bouteilles 0.33 l</v>
      </c>
      <c r="D37" s="224" t="n">
        <f aca="false">IF(F5&gt;=1,D29-D36,0)</f>
        <v>1.36896058088309</v>
      </c>
      <c r="E37" s="222"/>
      <c r="F37" s="222"/>
      <c r="G37" s="200"/>
      <c r="H37" s="200"/>
    </row>
    <row r="38" customFormat="false" ht="24" hidden="false" customHeight="true" outlineLevel="0" collapsed="false">
      <c r="C38" s="223" t="str">
        <f aca="false">"Marge commerciale (%) bouteilles "&amp;Donnees!E42&amp;" l"</f>
        <v>Marge commerciale (%) bouteilles 0.33 l</v>
      </c>
      <c r="D38" s="225" t="n">
        <f aca="false">IF(F5&gt;=1,(D37/D36)*100,0)</f>
        <v>317.595217552897</v>
      </c>
      <c r="E38" s="222"/>
      <c r="F38" s="222"/>
      <c r="G38" s="200"/>
      <c r="H38" s="200"/>
    </row>
    <row r="39" customFormat="false" ht="24" hidden="false" customHeight="true" outlineLevel="0" collapsed="false">
      <c r="C39" s="223" t="str">
        <f aca="false">"Cout de production bouteilles "&amp;Donnees!E51&amp;" l"</f>
        <v>Cout de production bouteilles 0.75 l</v>
      </c>
      <c r="D39" s="224" t="n">
        <f aca="false">IF(F9&gt;=1,SUM(F13,F15,F9:F27)*(Donnees!E52/100)/F30,0)</f>
        <v>0.773861620342992</v>
      </c>
      <c r="E39" s="222"/>
      <c r="F39" s="222"/>
      <c r="G39" s="200"/>
      <c r="H39" s="200"/>
    </row>
    <row r="40" customFormat="false" ht="24" hidden="false" customHeight="true" outlineLevel="0" collapsed="false">
      <c r="C40" s="223" t="str">
        <f aca="false">"Marge bouteilles "&amp;Donnees!E51&amp;" l"</f>
        <v>Marge bouteilles 0.75 l</v>
      </c>
      <c r="D40" s="224" t="n">
        <f aca="false">IF(F9&gt;=1,SUM(D30-D39),0)</f>
        <v>2.42613837965701</v>
      </c>
      <c r="E40" s="222"/>
      <c r="F40" s="222"/>
      <c r="G40" s="200"/>
      <c r="H40" s="200"/>
    </row>
    <row r="41" customFormat="false" ht="24" hidden="false" customHeight="true" outlineLevel="0" collapsed="false">
      <c r="C41" s="223" t="str">
        <f aca="false">"Marge commerciale bouteilles (%) "&amp;Donnees!E51&amp;" l"</f>
        <v>Marge commerciale bouteilles (%) 0.75 l</v>
      </c>
      <c r="D41" s="225" t="n">
        <f aca="false">IF(F9&gt;=1,(D40/D39*100),0)</f>
        <v>313.51062203882</v>
      </c>
      <c r="E41" s="222"/>
      <c r="F41" s="222"/>
      <c r="G41" s="200"/>
      <c r="H41" s="200"/>
    </row>
    <row r="42" customFormat="false" ht="17.4" hidden="false" customHeight="false" outlineLevel="0" collapsed="false">
      <c r="C42" s="226"/>
      <c r="D42" s="227"/>
      <c r="E42" s="226"/>
      <c r="F42" s="228"/>
      <c r="G42" s="228"/>
      <c r="H42" s="228"/>
    </row>
    <row r="43" customFormat="false" ht="17.4" hidden="false" customHeight="true" outlineLevel="0" collapsed="false">
      <c r="C43" s="229" t="s">
        <v>187</v>
      </c>
      <c r="D43" s="229"/>
      <c r="E43" s="229"/>
      <c r="F43" s="229"/>
      <c r="G43" s="230"/>
      <c r="H43" s="231"/>
    </row>
    <row r="44" customFormat="false" ht="31.2" hidden="false" customHeight="true" outlineLevel="0" collapsed="false">
      <c r="C44" s="232" t="s">
        <v>152</v>
      </c>
      <c r="D44" s="233" t="s">
        <v>148</v>
      </c>
      <c r="E44" s="233" t="s">
        <v>153</v>
      </c>
      <c r="F44" s="213" t="s">
        <v>154</v>
      </c>
      <c r="G44" s="234"/>
      <c r="H44" s="234"/>
    </row>
    <row r="45" s="2" customFormat="true" ht="21" hidden="false" customHeight="true" outlineLevel="0" collapsed="false">
      <c r="C45" s="235" t="n">
        <v>1</v>
      </c>
      <c r="D45" s="236" t="n">
        <f aca="false">D33</f>
        <v>242.83293258427</v>
      </c>
      <c r="E45" s="236" t="n">
        <f aca="false">D34</f>
        <v>374</v>
      </c>
      <c r="F45" s="237" t="n">
        <f aca="false">E45-D45</f>
        <v>131.16706741573</v>
      </c>
      <c r="G45" s="234"/>
      <c r="H45" s="234"/>
    </row>
    <row r="46" s="2" customFormat="true" ht="21" hidden="false" customHeight="true" outlineLevel="0" collapsed="false">
      <c r="C46" s="235" t="n">
        <v>2</v>
      </c>
      <c r="D46" s="239" t="n">
        <f aca="false">D33*2</f>
        <v>485.665865168539</v>
      </c>
      <c r="E46" s="239" t="n">
        <f aca="false">D34*2</f>
        <v>748</v>
      </c>
      <c r="F46" s="237" t="n">
        <f aca="false">E46-D46</f>
        <v>262.334134831461</v>
      </c>
      <c r="G46" s="234"/>
      <c r="H46" s="234"/>
    </row>
    <row r="47" s="2" customFormat="true" ht="21" hidden="false" customHeight="true" outlineLevel="0" collapsed="false">
      <c r="C47" s="394" t="n">
        <v>3</v>
      </c>
      <c r="D47" s="239" t="n">
        <f aca="false">D33*3</f>
        <v>728.498797752809</v>
      </c>
      <c r="E47" s="239" t="n">
        <f aca="false">D34*3</f>
        <v>1122</v>
      </c>
      <c r="F47" s="237" t="n">
        <f aca="false">E47-D47</f>
        <v>393.501202247191</v>
      </c>
      <c r="G47" s="234"/>
      <c r="H47" s="234"/>
    </row>
    <row r="48" customFormat="false" ht="17.4" hidden="false" customHeight="false" outlineLevel="0" collapsed="false">
      <c r="C48" s="241"/>
      <c r="D48" s="242"/>
      <c r="E48" s="242"/>
      <c r="F48" s="242"/>
      <c r="G48" s="234"/>
      <c r="H48" s="234"/>
    </row>
    <row r="49" customFormat="false" ht="17.4" hidden="false" customHeight="false" outlineLevel="0" collapsed="false">
      <c r="C49" s="395" t="s">
        <v>188</v>
      </c>
      <c r="D49" s="395"/>
      <c r="E49" s="395"/>
      <c r="F49" s="395"/>
      <c r="G49" s="395"/>
      <c r="H49" s="234"/>
    </row>
    <row r="50" customFormat="false" ht="25.8" hidden="false" customHeight="true" outlineLevel="0" collapsed="false">
      <c r="C50" s="345" t="s">
        <v>156</v>
      </c>
      <c r="D50" s="239" t="s">
        <v>148</v>
      </c>
      <c r="E50" s="246" t="s">
        <v>157</v>
      </c>
      <c r="F50" s="239" t="s">
        <v>153</v>
      </c>
      <c r="G50" s="347" t="s">
        <v>154</v>
      </c>
      <c r="H50" s="234"/>
    </row>
    <row r="51" customFormat="false" ht="21" hidden="false" customHeight="true" outlineLevel="0" collapsed="false">
      <c r="C51" s="394" t="n">
        <v>1</v>
      </c>
      <c r="D51" s="396" t="n">
        <f aca="false">D45*4</f>
        <v>971.331730337079</v>
      </c>
      <c r="E51" s="397" t="n">
        <f aca="false">SUM(Donnees!C67:E77)</f>
        <v>13.6</v>
      </c>
      <c r="F51" s="398" t="n">
        <f aca="false">E45*4</f>
        <v>1496</v>
      </c>
      <c r="G51" s="399" t="n">
        <f aca="false">F51-D51-E51</f>
        <v>511.068269662921</v>
      </c>
      <c r="H51" s="234"/>
    </row>
    <row r="52" customFormat="false" ht="21" hidden="false" customHeight="true" outlineLevel="0" collapsed="false">
      <c r="C52" s="394" t="n">
        <v>2</v>
      </c>
      <c r="D52" s="396" t="n">
        <f aca="false">D46*4</f>
        <v>1942.66346067416</v>
      </c>
      <c r="E52" s="397"/>
      <c r="F52" s="398" t="n">
        <f aca="false">E46*4</f>
        <v>2992</v>
      </c>
      <c r="G52" s="399" t="n">
        <f aca="false">F52-D52-E51</f>
        <v>1035.73653932584</v>
      </c>
      <c r="H52" s="234"/>
    </row>
    <row r="53" customFormat="false" ht="21" hidden="false" customHeight="true" outlineLevel="0" collapsed="false">
      <c r="C53" s="394" t="n">
        <v>3</v>
      </c>
      <c r="D53" s="396" t="n">
        <f aca="false">D47*4</f>
        <v>2913.99519101124</v>
      </c>
      <c r="E53" s="397"/>
      <c r="F53" s="398" t="n">
        <f aca="false">E47*4</f>
        <v>4488</v>
      </c>
      <c r="G53" s="399" t="n">
        <f aca="false">F53-D53-E51</f>
        <v>1560.40480898876</v>
      </c>
      <c r="H53" s="234"/>
    </row>
    <row r="54" customFormat="false" ht="18" hidden="false" customHeight="false" outlineLevel="0" collapsed="false">
      <c r="C54" s="257"/>
      <c r="D54" s="258"/>
      <c r="E54" s="258"/>
      <c r="F54" s="258"/>
      <c r="G54" s="258"/>
      <c r="H54" s="258"/>
    </row>
    <row r="55" customFormat="false" ht="27" hidden="false" customHeight="true" outlineLevel="0" collapsed="false">
      <c r="B55" s="400" t="s">
        <v>193</v>
      </c>
      <c r="C55" s="400"/>
      <c r="D55" s="400"/>
      <c r="E55" s="400"/>
      <c r="F55" s="400"/>
      <c r="G55" s="401"/>
      <c r="H55" s="401"/>
      <c r="I55" s="261"/>
    </row>
    <row r="56" s="2" customFormat="true" ht="30.6" hidden="false" customHeight="true" outlineLevel="0" collapsed="false">
      <c r="B56" s="262"/>
      <c r="C56" s="402" t="s">
        <v>159</v>
      </c>
      <c r="D56" s="403" t="s">
        <v>194</v>
      </c>
      <c r="E56" s="403" t="s">
        <v>195</v>
      </c>
      <c r="F56" s="403" t="s">
        <v>196</v>
      </c>
      <c r="G56" s="404"/>
      <c r="H56" s="404"/>
      <c r="I56" s="267"/>
    </row>
    <row r="57" s="268" customFormat="true" ht="21" hidden="false" customHeight="true" outlineLevel="0" collapsed="false">
      <c r="B57" s="405" t="s">
        <v>160</v>
      </c>
      <c r="C57" s="406" t="s">
        <v>161</v>
      </c>
      <c r="D57" s="407" t="n">
        <f aca="false">E45*Donnees!E14</f>
        <v>14960</v>
      </c>
      <c r="E57" s="279" t="n">
        <f aca="false">E46*Donnees!E14</f>
        <v>29920</v>
      </c>
      <c r="F57" s="279" t="n">
        <f aca="false">E47*Donnees!E14</f>
        <v>44880</v>
      </c>
      <c r="G57" s="271"/>
      <c r="H57" s="271"/>
      <c r="I57" s="272"/>
    </row>
    <row r="58" s="268" customFormat="true" ht="21" hidden="false" customHeight="true" outlineLevel="0" collapsed="false">
      <c r="B58" s="405"/>
      <c r="C58" s="408" t="s">
        <v>197</v>
      </c>
      <c r="D58" s="409" t="n">
        <f aca="false">D45*Donnees!E14</f>
        <v>9713.31730337079</v>
      </c>
      <c r="E58" s="274" t="n">
        <f aca="false">D46*Donnees!E14</f>
        <v>19426.6346067416</v>
      </c>
      <c r="F58" s="275" t="n">
        <f aca="false">D47*Donnees!E14</f>
        <v>29139.9519101124</v>
      </c>
      <c r="G58" s="276"/>
      <c r="H58" s="276"/>
      <c r="I58" s="277"/>
    </row>
    <row r="59" s="268" customFormat="true" ht="21" hidden="false" customHeight="true" outlineLevel="0" collapsed="false">
      <c r="B59" s="405"/>
      <c r="C59" s="410" t="s">
        <v>198</v>
      </c>
      <c r="D59" s="407" t="n">
        <f aca="false">F45*Donnees!E14</f>
        <v>5246.68269662921</v>
      </c>
      <c r="E59" s="279" t="n">
        <f aca="false">F46*Donnees!E14</f>
        <v>10493.3653932584</v>
      </c>
      <c r="F59" s="165" t="n">
        <f aca="false">F47*Donnees!E14</f>
        <v>15740.0480898876</v>
      </c>
      <c r="G59" s="276"/>
      <c r="H59" s="276"/>
      <c r="I59" s="277"/>
    </row>
    <row r="60" s="268" customFormat="true" ht="21" hidden="false" customHeight="true" outlineLevel="0" collapsed="false">
      <c r="B60" s="405"/>
      <c r="C60" s="408" t="s">
        <v>199</v>
      </c>
      <c r="D60" s="411" t="n">
        <f aca="false">E51*12</f>
        <v>163.2</v>
      </c>
      <c r="E60" s="411"/>
      <c r="F60" s="411"/>
      <c r="G60" s="276"/>
      <c r="H60" s="276"/>
      <c r="I60" s="277"/>
    </row>
    <row r="61" s="268" customFormat="true" ht="21" hidden="false" customHeight="true" outlineLevel="0" collapsed="false">
      <c r="B61" s="405"/>
      <c r="C61" s="408" t="s">
        <v>165</v>
      </c>
      <c r="D61" s="412" t="n">
        <f aca="false">(D59*Donnees!E85%)</f>
        <v>0</v>
      </c>
      <c r="E61" s="413" t="n">
        <f aca="false">(E59*Donnees!E85%)</f>
        <v>0</v>
      </c>
      <c r="F61" s="414" t="n">
        <f aca="false">(F59*Donnees!E85%)</f>
        <v>0</v>
      </c>
      <c r="G61" s="276"/>
      <c r="H61" s="276"/>
      <c r="I61" s="277"/>
    </row>
    <row r="62" s="268" customFormat="true" ht="21" hidden="false" customHeight="true" outlineLevel="0" collapsed="false">
      <c r="B62" s="405"/>
      <c r="C62" s="410" t="s">
        <v>200</v>
      </c>
      <c r="D62" s="407" t="n">
        <f aca="false">D57-D58-D61-D60</f>
        <v>5083.48269662921</v>
      </c>
      <c r="E62" s="279" t="n">
        <f aca="false">E57-E58-E61-D60</f>
        <v>10330.1653932584</v>
      </c>
      <c r="F62" s="165" t="n">
        <f aca="false">F57-F58-F61-D60</f>
        <v>15576.8480898876</v>
      </c>
      <c r="G62" s="271"/>
      <c r="H62" s="271"/>
      <c r="I62" s="277"/>
    </row>
    <row r="63" s="268" customFormat="true" ht="21" hidden="false" customHeight="true" outlineLevel="0" collapsed="false">
      <c r="B63" s="405"/>
      <c r="C63" s="415" t="s">
        <v>167</v>
      </c>
      <c r="D63" s="416" t="n">
        <f aca="false">D62/12</f>
        <v>423.623558052434</v>
      </c>
      <c r="E63" s="190" t="n">
        <f aca="false">E62/12</f>
        <v>860.847116104866</v>
      </c>
      <c r="F63" s="355" t="n">
        <f aca="false">F62/12</f>
        <v>1298.0706741573</v>
      </c>
      <c r="G63" s="286"/>
      <c r="H63" s="286"/>
      <c r="I63" s="277"/>
    </row>
    <row r="64" s="268" customFormat="true" ht="32.4" hidden="false" customHeight="true" outlineLevel="0" collapsed="false">
      <c r="B64" s="356" t="s">
        <v>168</v>
      </c>
      <c r="C64" s="356"/>
      <c r="D64" s="356"/>
      <c r="E64" s="356"/>
      <c r="F64" s="356"/>
      <c r="G64" s="286"/>
      <c r="H64" s="286"/>
      <c r="I64" s="277"/>
    </row>
    <row r="65" s="268" customFormat="true" ht="21" hidden="false" customHeight="true" outlineLevel="0" collapsed="false">
      <c r="B65" s="357" t="s">
        <v>169</v>
      </c>
      <c r="C65" s="417" t="s">
        <v>170</v>
      </c>
      <c r="D65" s="418" t="n">
        <f aca="false">IF(D62&gt;=38120,(38120*15%),(D62*15%))</f>
        <v>762.522404494382</v>
      </c>
      <c r="E65" s="291" t="n">
        <f aca="false">IF(E62&gt;=38120,(38120*15%),(E62*15%))</f>
        <v>1549.52480898876</v>
      </c>
      <c r="F65" s="292" t="n">
        <f aca="false">IF(F62&gt;=38120,(38120*15%),(F62*15%))</f>
        <v>2336.52721348314</v>
      </c>
      <c r="G65" s="293"/>
      <c r="H65" s="293"/>
      <c r="I65" s="277"/>
    </row>
    <row r="66" s="268" customFormat="true" ht="66" hidden="false" customHeight="true" outlineLevel="0" collapsed="false">
      <c r="B66" s="357"/>
      <c r="C66" s="408" t="s">
        <v>171</v>
      </c>
      <c r="D66" s="409" t="n">
        <f aca="false">IF(D62&lt;38120,0,IF(D62&lt;75000,(D62-38120)*28%,(36880)*28%))</f>
        <v>0</v>
      </c>
      <c r="E66" s="294" t="n">
        <f aca="false">IF(E62&lt;38120,0,IF(E62&lt;75000,(E62-38120)*28%,(36880)*28%))</f>
        <v>0</v>
      </c>
      <c r="F66" s="275" t="n">
        <f aca="false">IF(F62&lt;38120,0,IF(F62&lt;75000,(F62-38120)*28%,(36880)*28%))</f>
        <v>0</v>
      </c>
      <c r="G66" s="295"/>
      <c r="H66" s="296"/>
      <c r="I66" s="277"/>
    </row>
    <row r="67" s="2" customFormat="true" ht="21" hidden="false" customHeight="true" outlineLevel="0" collapsed="false">
      <c r="B67" s="357"/>
      <c r="C67" s="408" t="s">
        <v>172</v>
      </c>
      <c r="D67" s="419" t="n">
        <f aca="false">IF(D62&lt;75000,0,IF(D62&gt;75001,(D62-75001)*33%))</f>
        <v>0</v>
      </c>
      <c r="E67" s="297" t="n">
        <f aca="false">IF(E62&lt;75000,0,IF(E62&gt;75001,(E62-75001)*33%))</f>
        <v>0</v>
      </c>
      <c r="F67" s="298" t="n">
        <f aca="false">IF(F62&lt;75000,0,IF(F62&gt;75001,(F62-75001)*33%))</f>
        <v>0</v>
      </c>
      <c r="G67" s="293"/>
      <c r="H67" s="293"/>
      <c r="I67" s="299"/>
    </row>
    <row r="68" customFormat="false" ht="24.6" hidden="false" customHeight="true" outlineLevel="0" collapsed="false">
      <c r="B68" s="357"/>
      <c r="C68" s="420" t="s">
        <v>173</v>
      </c>
      <c r="D68" s="421" t="n">
        <f aca="false">SUM(D65:D67)</f>
        <v>762.522404494382</v>
      </c>
      <c r="E68" s="301" t="n">
        <f aca="false">SUM(E65:E67)</f>
        <v>1549.52480898876</v>
      </c>
      <c r="F68" s="302" t="n">
        <f aca="false">SUM(F65:F67)</f>
        <v>2336.52721348314</v>
      </c>
      <c r="G68" s="303"/>
      <c r="H68" s="303"/>
      <c r="I68" s="313"/>
    </row>
    <row r="69" customFormat="false" ht="24.6" hidden="false" customHeight="true" outlineLevel="0" collapsed="false">
      <c r="B69" s="422" t="s">
        <v>201</v>
      </c>
      <c r="C69" s="423" t="s">
        <v>175</v>
      </c>
      <c r="D69" s="424" t="n">
        <f aca="false">D62-D68</f>
        <v>4320.96029213483</v>
      </c>
      <c r="E69" s="425" t="n">
        <f aca="false">E62-E68</f>
        <v>8780.64058426964</v>
      </c>
      <c r="F69" s="426" t="n">
        <f aca="false">F62-F68</f>
        <v>13240.3208764045</v>
      </c>
      <c r="G69" s="427"/>
      <c r="H69" s="427"/>
      <c r="I69" s="313"/>
    </row>
    <row r="70" customFormat="false" ht="24.6" hidden="false" customHeight="true" outlineLevel="0" collapsed="false">
      <c r="B70" s="422"/>
      <c r="C70" s="428" t="s">
        <v>202</v>
      </c>
      <c r="D70" s="429" t="n">
        <f aca="false">D69/12</f>
        <v>360.080024344569</v>
      </c>
      <c r="E70" s="430" t="n">
        <f aca="false">E69/12</f>
        <v>731.720048689137</v>
      </c>
      <c r="F70" s="431" t="n">
        <f aca="false">F69/12</f>
        <v>1103.36007303371</v>
      </c>
      <c r="G70" s="427"/>
      <c r="H70" s="427"/>
      <c r="I70" s="313"/>
    </row>
    <row r="71" customFormat="false" ht="38.4" hidden="false" customHeight="true" outlineLevel="0" collapsed="false">
      <c r="B71" s="314" t="s">
        <v>177</v>
      </c>
      <c r="C71" s="314"/>
      <c r="D71" s="314"/>
      <c r="E71" s="314"/>
      <c r="F71" s="314"/>
      <c r="G71" s="427"/>
      <c r="H71" s="427"/>
      <c r="I71" s="313"/>
    </row>
    <row r="72" customFormat="false" ht="34.2" hidden="false" customHeight="true" outlineLevel="0" collapsed="false">
      <c r="B72" s="432" t="s">
        <v>169</v>
      </c>
      <c r="C72" s="433" t="s">
        <v>178</v>
      </c>
      <c r="D72" s="434" t="n">
        <f aca="false">IF(D57&gt;82800,"IMPOSSIBLE",14.4*D57/100)</f>
        <v>2154.24</v>
      </c>
      <c r="E72" s="435" t="n">
        <f aca="false">IF(E57&gt;82800,"IMPOSSIBLE",14.4*E57/100)</f>
        <v>4308.48</v>
      </c>
      <c r="F72" s="436" t="n">
        <f aca="false">IF(F57&gt;82800,"IMPOSSIBLE",14.4*F57/100)</f>
        <v>6462.72</v>
      </c>
      <c r="G72" s="367"/>
      <c r="H72" s="367"/>
      <c r="I72" s="313"/>
    </row>
    <row r="73" customFormat="false" ht="22.95" hidden="false" customHeight="true" outlineLevel="0" collapsed="false">
      <c r="B73" s="437" t="s">
        <v>201</v>
      </c>
      <c r="C73" s="369" t="s">
        <v>175</v>
      </c>
      <c r="D73" s="438" t="n">
        <f aca="false">IF(D57&lt;=82000,D62-D72,"IMPOSSIBLE")</f>
        <v>2929.24269662921</v>
      </c>
      <c r="E73" s="439" t="n">
        <f aca="false">IF(E57&lt;=82000,E62-E72,"IMPOSSIBLE")</f>
        <v>6021.6853932584</v>
      </c>
      <c r="F73" s="440" t="n">
        <f aca="false">IF(F57&lt;=82000,F62-F72,"IMPOSSIBLE")</f>
        <v>9114.1280898876</v>
      </c>
      <c r="G73" s="441"/>
      <c r="H73" s="441"/>
      <c r="I73" s="313"/>
    </row>
    <row r="74" customFormat="false" ht="22.95" hidden="false" customHeight="true" outlineLevel="0" collapsed="false">
      <c r="B74" s="437"/>
      <c r="C74" s="372" t="s">
        <v>203</v>
      </c>
      <c r="D74" s="442" t="n">
        <f aca="false">IF(D57&lt;=82000,D73/12,"IMPOSSIBLE")</f>
        <v>244.103558052434</v>
      </c>
      <c r="E74" s="443" t="n">
        <f aca="false">IF(E57&lt;=82000,E73/12,"IMPOSSIBLE")</f>
        <v>501.807116104867</v>
      </c>
      <c r="F74" s="444" t="n">
        <f aca="false">IF(F57&lt;=82000,F73/12,"IMPOSSIBLE")</f>
        <v>759.5106741573</v>
      </c>
      <c r="G74" s="445"/>
      <c r="H74" s="441"/>
      <c r="I74" s="313"/>
    </row>
  </sheetData>
  <sheetProtection algorithmName="SHA-512" hashValue="wOB93kKLdilUATB0u0BIvWxn9xQEP3hiVTzDPNOYfGmonu6KrfV8Y+TNYlOuR8KftaCeUok5vi74wK4Cb2fV3Q==" saltValue="FCY/LNS1BpLHzRYgDWFelw==" spinCount="100000" sheet="true" objects="true" scenarios="true"/>
  <mergeCells count="39">
    <mergeCell ref="A1:K1"/>
    <mergeCell ref="B3:I3"/>
    <mergeCell ref="B4:C4"/>
    <mergeCell ref="B5:B8"/>
    <mergeCell ref="H5:H8"/>
    <mergeCell ref="I5:I8"/>
    <mergeCell ref="B9:B12"/>
    <mergeCell ref="H9:H12"/>
    <mergeCell ref="I9:I12"/>
    <mergeCell ref="B13:B22"/>
    <mergeCell ref="H13:H22"/>
    <mergeCell ref="I13:I22"/>
    <mergeCell ref="B23:B27"/>
    <mergeCell ref="H23:H27"/>
    <mergeCell ref="I23:I27"/>
    <mergeCell ref="J30:J33"/>
    <mergeCell ref="C32:D32"/>
    <mergeCell ref="E32:F32"/>
    <mergeCell ref="E33:F33"/>
    <mergeCell ref="E34:F34"/>
    <mergeCell ref="J34:J35"/>
    <mergeCell ref="E35:F35"/>
    <mergeCell ref="E36:F36"/>
    <mergeCell ref="E37:F37"/>
    <mergeCell ref="E38:F38"/>
    <mergeCell ref="E39:F39"/>
    <mergeCell ref="E40:F40"/>
    <mergeCell ref="E41:F41"/>
    <mergeCell ref="C43:F43"/>
    <mergeCell ref="C49:G49"/>
    <mergeCell ref="E51:E53"/>
    <mergeCell ref="B55:F55"/>
    <mergeCell ref="B57:B63"/>
    <mergeCell ref="D60:F60"/>
    <mergeCell ref="B64:F64"/>
    <mergeCell ref="B65:B68"/>
    <mergeCell ref="B69:B70"/>
    <mergeCell ref="B71:F71"/>
    <mergeCell ref="B73:B74"/>
  </mergeCells>
  <conditionalFormatting sqref="I5:I27 G5:G27">
    <cfRule type="cellIs" priority="2" operator="between" aboveAverage="0" equalAverage="0" bottom="0" percent="0" rank="0" text="" dxfId="5">
      <formula>5</formula>
      <formula>15</formula>
    </cfRule>
    <cfRule type="cellIs" priority="3" operator="greaterThan" aboveAverage="0" equalAverage="0" bottom="0" percent="0" rank="0" text="" dxfId="6">
      <formula>15</formula>
    </cfRule>
  </conditionalFormatting>
  <conditionalFormatting sqref="D72:H74">
    <cfRule type="containsText" priority="4" operator="containsText" aboveAverage="0" equalAverage="0" bottom="0" percent="0" rank="0" text="IMPOSSIBLE" dxfId="7">
      <formula>NOT(ISERROR(SEARCH("IMPOSSIBLE",D72)))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1:J52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51" activeCellId="0" sqref="G51"/>
    </sheetView>
  </sheetViews>
  <sheetFormatPr defaultColWidth="8.73046875" defaultRowHeight="14.4" zeroHeight="false" outlineLevelRow="0" outlineLevelCol="0"/>
  <cols>
    <col collapsed="false" customWidth="true" hidden="false" outlineLevel="0" max="2" min="1" style="0" width="5.33"/>
    <col collapsed="false" customWidth="true" hidden="false" outlineLevel="0" max="3" min="3" style="0" width="21.33"/>
    <col collapsed="false" customWidth="true" hidden="false" outlineLevel="0" max="4" min="4" style="0" width="31.11"/>
    <col collapsed="false" customWidth="true" hidden="false" outlineLevel="0" max="5" min="5" style="0" width="22.22"/>
    <col collapsed="false" customWidth="true" hidden="false" outlineLevel="0" max="6" min="6" style="0" width="20.33"/>
    <col collapsed="false" customWidth="true" hidden="false" outlineLevel="0" max="7" min="7" style="0" width="22.66"/>
    <col collapsed="false" customWidth="true" hidden="false" outlineLevel="0" max="8" min="8" style="0" width="20.33"/>
    <col collapsed="false" customWidth="true" hidden="false" outlineLevel="0" max="9" min="9" style="0" width="25"/>
    <col collapsed="false" customWidth="true" hidden="false" outlineLevel="0" max="10" min="10" style="0" width="14.55"/>
  </cols>
  <sheetData>
    <row r="1" customFormat="false" ht="13.2" hidden="false" customHeight="true" outlineLevel="0" collapsed="false"/>
    <row r="2" customFormat="false" ht="50.4" hidden="false" customHeight="true" outlineLevel="0" collapsed="false">
      <c r="C2" s="446" t="s">
        <v>204</v>
      </c>
      <c r="D2" s="446"/>
      <c r="E2" s="446"/>
      <c r="F2" s="446"/>
      <c r="G2" s="446"/>
      <c r="H2" s="446"/>
      <c r="I2" s="446"/>
    </row>
    <row r="3" customFormat="false" ht="22.05" hidden="false" customHeight="true" outlineLevel="0" collapsed="false">
      <c r="C3" s="447" t="n">
        <f aca="false">Donnees!C11</f>
        <v>44766</v>
      </c>
      <c r="D3" s="447"/>
      <c r="E3" s="447"/>
      <c r="F3" s="447"/>
      <c r="G3" s="447"/>
      <c r="H3" s="447"/>
      <c r="I3" s="447"/>
    </row>
    <row r="4" customFormat="false" ht="22.05" hidden="false" customHeight="true" outlineLevel="0" collapsed="false">
      <c r="D4" s="447"/>
      <c r="E4" s="447"/>
      <c r="F4" s="447"/>
      <c r="G4" s="447"/>
      <c r="H4" s="447"/>
      <c r="I4" s="447"/>
    </row>
    <row r="5" customFormat="false" ht="33" hidden="false" customHeight="true" outlineLevel="0" collapsed="false">
      <c r="C5" s="448" t="s">
        <v>159</v>
      </c>
      <c r="D5" s="448"/>
      <c r="E5" s="449" t="s">
        <v>205</v>
      </c>
      <c r="F5" s="450" t="s">
        <v>206</v>
      </c>
      <c r="G5" s="451" t="s">
        <v>207</v>
      </c>
      <c r="H5" s="450" t="s">
        <v>208</v>
      </c>
      <c r="I5" s="452" t="s">
        <v>209</v>
      </c>
    </row>
    <row r="6" customFormat="false" ht="24" hidden="false" customHeight="true" outlineLevel="0" collapsed="false">
      <c r="C6" s="453" t="s">
        <v>210</v>
      </c>
      <c r="D6" s="454" t="s">
        <v>211</v>
      </c>
      <c r="E6" s="455" t="n">
        <f aca="false">Donnees!C80*Donnees!C78</f>
        <v>700</v>
      </c>
      <c r="F6" s="456" t="n">
        <f aca="false">E6*(Donnees!C81/Donnees!C80)</f>
        <v>700</v>
      </c>
      <c r="G6" s="456" t="n">
        <f aca="false">E6-F6</f>
        <v>0</v>
      </c>
      <c r="H6" s="457" t="n">
        <f aca="false">(H7*Donnees!C42)+('Gestion reelle'!H8*Donnees!C51)</f>
        <v>505.02</v>
      </c>
      <c r="I6" s="458" t="n">
        <f aca="false">F6-H6</f>
        <v>194.98</v>
      </c>
    </row>
    <row r="7" customFormat="false" ht="24" hidden="false" customHeight="true" outlineLevel="0" collapsed="false">
      <c r="C7" s="453"/>
      <c r="D7" s="459" t="str">
        <f aca="false">"Bouteilles "&amp;Donnees!C42&amp;" L"</f>
        <v>Bouteilles 0.33 L</v>
      </c>
      <c r="E7" s="460" t="n">
        <f aca="false">ROUNDDOWN(((Donnees!C43*Donnees!C10)/100)/Donnees!C42,0)*Donnees!C80</f>
        <v>190</v>
      </c>
      <c r="F7" s="461" t="n">
        <f aca="false">ROUNDDOWN(((Donnees!C43*Donnees!C10)/100)/Donnees!C42,0)*((100-Donnees!C48)/100)*Donnees!C81</f>
        <v>95</v>
      </c>
      <c r="G7" s="462" t="n">
        <f aca="false">E7-F7</f>
        <v>95</v>
      </c>
      <c r="H7" s="463" t="n">
        <f aca="false">'Tableau de livraisons'!G4</f>
        <v>1144</v>
      </c>
      <c r="I7" s="464" t="n">
        <f aca="false">E7-H7</f>
        <v>-954</v>
      </c>
    </row>
    <row r="8" customFormat="false" ht="24" hidden="false" customHeight="true" outlineLevel="0" collapsed="false">
      <c r="C8" s="453"/>
      <c r="D8" s="465" t="str">
        <f aca="false">"Bouteilles "&amp;Donnees!C51&amp;" L"</f>
        <v>Bouteilles 0.75 L</v>
      </c>
      <c r="E8" s="466" t="n">
        <f aca="false">ROUNDDOWN(((Donnees!C52*Donnees!C10)/100)/Donnees!C51,0)*((100-Donnees!C48)/100)*Donnees!C80</f>
        <v>42</v>
      </c>
      <c r="F8" s="467" t="n">
        <f aca="false">ROUNDDOWN(((Donnees!C52*Donnees!C10)/100)/Donnees!C51,0)*((100-Donnees!C48)/100)*Donnees!C81</f>
        <v>42</v>
      </c>
      <c r="G8" s="467" t="n">
        <f aca="false">E8-F8</f>
        <v>0</v>
      </c>
      <c r="H8" s="468" t="n">
        <f aca="false">'Tableau de livraisons'!G3</f>
        <v>170</v>
      </c>
      <c r="I8" s="469" t="n">
        <f aca="false">F8-H8</f>
        <v>-128</v>
      </c>
    </row>
    <row r="9" s="207" customFormat="true" ht="21" hidden="false" customHeight="true" outlineLevel="0" collapsed="false">
      <c r="C9" s="470"/>
      <c r="D9" s="471"/>
      <c r="E9" s="471"/>
      <c r="F9" s="471"/>
      <c r="G9" s="471"/>
      <c r="H9" s="471"/>
      <c r="I9" s="471"/>
    </row>
    <row r="10" customFormat="false" ht="24" hidden="false" customHeight="true" outlineLevel="0" collapsed="false">
      <c r="C10" s="472" t="str">
        <f aca="false">"Recette "&amp;Donnees!D6</f>
        <v>Recette La brune</v>
      </c>
      <c r="D10" s="473" t="s">
        <v>211</v>
      </c>
      <c r="E10" s="474" t="n">
        <f aca="false">Donnees!D80*Donnees!D78</f>
        <v>500</v>
      </c>
      <c r="F10" s="475" t="n">
        <f aca="false">E10*(Donnees!D81/Donnees!D80)</f>
        <v>250</v>
      </c>
      <c r="G10" s="475" t="n">
        <f aca="false">E10-F10</f>
        <v>250</v>
      </c>
      <c r="H10" s="476" t="n">
        <f aca="false">(H11*Donnees!D42)+('Gestion reelle'!H12*Donnees!D51)</f>
        <v>209.7</v>
      </c>
      <c r="I10" s="477" t="n">
        <f aca="false">F10-H10</f>
        <v>40.3</v>
      </c>
    </row>
    <row r="11" customFormat="false" ht="24" hidden="false" customHeight="true" outlineLevel="0" collapsed="false">
      <c r="C11" s="472"/>
      <c r="D11" s="478" t="str">
        <f aca="false">"Bouteilles "&amp;Donnees!D42&amp;" L"</f>
        <v>Bouteilles 0.33 L</v>
      </c>
      <c r="E11" s="479" t="n">
        <f aca="false">ROUNDDOWN(((Donnees!D43*Donnees!D10)/100)/Donnees!D42,0)*Donnees!D80</f>
        <v>1046</v>
      </c>
      <c r="F11" s="480" t="n">
        <f aca="false">ROUNDDOWN(((Donnees!D43*Donnees!D10)/100)/Donnees!D42,0)*((100-Donnees!D48)/100)*Donnees!D81</f>
        <v>523</v>
      </c>
      <c r="G11" s="480" t="n">
        <f aca="false">E11-F11</f>
        <v>523</v>
      </c>
      <c r="H11" s="481" t="n">
        <f aca="false">'Tableau de livraisons'!H4</f>
        <v>240</v>
      </c>
      <c r="I11" s="482" t="n">
        <f aca="false">F11-H11</f>
        <v>283</v>
      </c>
    </row>
    <row r="12" customFormat="false" ht="24" hidden="false" customHeight="true" outlineLevel="0" collapsed="false">
      <c r="C12" s="472"/>
      <c r="D12" s="483" t="str">
        <f aca="false">"Bouteilles "&amp;Donnees!D51&amp;" L"</f>
        <v>Bouteilles 0.75 L</v>
      </c>
      <c r="E12" s="484" t="n">
        <f aca="false">ROUNDDOWN(((Donnees!D52*Donnees!D10)/100)/Donnees!D51,0)*((100-Donnees!D48)/100)*Donnees!D80</f>
        <v>306</v>
      </c>
      <c r="F12" s="485" t="n">
        <f aca="false">ROUNDDOWN(((Donnees!D52*Donnees!D10)/100)/Donnees!D51,0)*((100-Donnees!D48)/100)*Donnees!D81</f>
        <v>153</v>
      </c>
      <c r="G12" s="485" t="n">
        <f aca="false">E12-F12</f>
        <v>153</v>
      </c>
      <c r="H12" s="486" t="n">
        <f aca="false">'Tableau de livraisons'!H3</f>
        <v>174</v>
      </c>
      <c r="I12" s="487" t="n">
        <f aca="false">F12-H12</f>
        <v>-21</v>
      </c>
    </row>
    <row r="13" customFormat="false" ht="19.8" hidden="false" customHeight="true" outlineLevel="0" collapsed="false">
      <c r="C13" s="470"/>
      <c r="D13" s="207"/>
      <c r="E13" s="488"/>
      <c r="F13" s="488"/>
      <c r="G13" s="488"/>
      <c r="H13" s="488"/>
      <c r="I13" s="488"/>
    </row>
    <row r="14" customFormat="false" ht="24" hidden="false" customHeight="true" outlineLevel="0" collapsed="false">
      <c r="C14" s="489" t="str">
        <f aca="false">"Recette "&amp;Donnees!E6</f>
        <v>Recette La blanche</v>
      </c>
      <c r="D14" s="490" t="s">
        <v>211</v>
      </c>
      <c r="E14" s="491" t="n">
        <f aca="false">Donnees!E80*Donnees!E78</f>
        <v>150</v>
      </c>
      <c r="F14" s="491" t="n">
        <f aca="false">E14*(Donnees!E81/Donnees!E80)</f>
        <v>150</v>
      </c>
      <c r="G14" s="491" t="n">
        <f aca="false">E14-F14</f>
        <v>0</v>
      </c>
      <c r="H14" s="492" t="n">
        <f aca="false">(H15*Donnees!E42)+('Gestion reelle'!H16*Donnees!E51)</f>
        <v>91.26</v>
      </c>
      <c r="I14" s="493" t="n">
        <f aca="false">F14-H14</f>
        <v>58.74</v>
      </c>
    </row>
    <row r="15" customFormat="false" ht="24" hidden="false" customHeight="true" outlineLevel="0" collapsed="false">
      <c r="C15" s="489"/>
      <c r="D15" s="494" t="str">
        <f aca="false">"Bouteilles "&amp;Donnees!E42&amp;" L"</f>
        <v>Bouteilles 0.33 L</v>
      </c>
      <c r="E15" s="495" t="n">
        <f aca="false">ROUNDDOWN(((Donnees!E43*Donnees!E10)/100)/Donnees!E42,0)*Donnees!E80</f>
        <v>522</v>
      </c>
      <c r="F15" s="495" t="n">
        <f aca="false">ROUNDDOWN(((Donnees!E43*Donnees!E10)/100)/Donnees!E42,0)*((100-Donnees!E48)/100)*Donnees!E81</f>
        <v>522</v>
      </c>
      <c r="G15" s="495" t="n">
        <f aca="false">E15-F15</f>
        <v>0</v>
      </c>
      <c r="H15" s="496" t="n">
        <f aca="false">'Tableau de livraisons'!I4</f>
        <v>222</v>
      </c>
      <c r="I15" s="497" t="n">
        <f aca="false">F15-H15</f>
        <v>300</v>
      </c>
    </row>
    <row r="16" customFormat="false" ht="24" hidden="false" customHeight="true" outlineLevel="0" collapsed="false">
      <c r="C16" s="489"/>
      <c r="D16" s="498" t="str">
        <f aca="false">"Bouteilles "&amp;Donnees!E51&amp;" L"</f>
        <v>Bouteilles 0.75 L</v>
      </c>
      <c r="E16" s="499" t="n">
        <f aca="false">ROUNDDOWN(((Donnees!E52*Donnees!E10)/100)/Donnees!E51,0)*((100-Donnees!E48)/100)*Donnees!E80</f>
        <v>57</v>
      </c>
      <c r="F16" s="500" t="n">
        <f aca="false">ROUNDDOWN(((Donnees!E52*Donnees!E10)/100)/Donnees!E51,0)*((100-Donnees!E48)/100)*Donnees!E81</f>
        <v>57</v>
      </c>
      <c r="G16" s="500" t="n">
        <f aca="false">E16-F16</f>
        <v>0</v>
      </c>
      <c r="H16" s="501" t="n">
        <f aca="false">'Tableau de livraisons'!I3</f>
        <v>24</v>
      </c>
      <c r="I16" s="502" t="n">
        <f aca="false">F16-H16</f>
        <v>33</v>
      </c>
    </row>
    <row r="17" customFormat="false" ht="22.05" hidden="false" customHeight="true" outlineLevel="0" collapsed="false">
      <c r="C17" s="503"/>
      <c r="D17" s="504"/>
      <c r="E17" s="505"/>
      <c r="F17" s="211"/>
      <c r="G17" s="211"/>
      <c r="H17" s="506"/>
      <c r="I17" s="507"/>
    </row>
    <row r="18" customFormat="false" ht="22.05" hidden="false" customHeight="true" outlineLevel="0" collapsed="false">
      <c r="C18" s="207"/>
      <c r="D18" s="508"/>
      <c r="E18" s="509"/>
      <c r="F18" s="509"/>
      <c r="G18" s="509"/>
      <c r="H18" s="509"/>
      <c r="I18" s="509"/>
    </row>
    <row r="19" customFormat="false" ht="35.4" hidden="false" customHeight="true" outlineLevel="0" collapsed="false">
      <c r="D19" s="510" t="s">
        <v>212</v>
      </c>
      <c r="E19" s="510"/>
      <c r="F19" s="510"/>
      <c r="G19" s="510"/>
      <c r="H19" s="509"/>
      <c r="I19" s="509"/>
    </row>
    <row r="20" customFormat="false" ht="27" hidden="false" customHeight="true" outlineLevel="0" collapsed="false">
      <c r="D20" s="511"/>
      <c r="E20" s="512" t="str">
        <f aca="false">"Recette "&amp;Donnees!C6</f>
        <v>Recette La blonde</v>
      </c>
      <c r="F20" s="513" t="str">
        <f aca="false">"Recette "&amp;Donnees!D6</f>
        <v>Recette La brune</v>
      </c>
      <c r="G20" s="514" t="str">
        <f aca="false">"Recette "&amp;Donnees!E6</f>
        <v>Recette La blanche</v>
      </c>
      <c r="H20" s="509"/>
    </row>
    <row r="21" customFormat="false" ht="28.05" hidden="false" customHeight="true" outlineLevel="0" collapsed="false">
      <c r="D21" s="515" t="s">
        <v>213</v>
      </c>
      <c r="E21" s="516" t="n">
        <f aca="false">Donnees!C80*SUM('Projections Recette 1'!F5:F22,'Projections Recette 1'!F24:F27)</f>
        <v>160.125730337079</v>
      </c>
      <c r="F21" s="517" t="n">
        <f aca="false">Donnees!D80*SUM('Projections Recette 2'!F5:F22,'Projections Recette 2'!F24:F27)</f>
        <v>1244.83419850187</v>
      </c>
      <c r="G21" s="518" t="n">
        <f aca="false">Donnees!E80*SUM('Projections Recette 3'!F5:F22,'Projections Recette 3'!F24:F27)</f>
        <v>656.570797752809</v>
      </c>
      <c r="H21" s="509"/>
      <c r="I21" s="519"/>
      <c r="J21" s="519"/>
    </row>
    <row r="22" customFormat="false" ht="28.05" hidden="false" customHeight="true" outlineLevel="0" collapsed="false">
      <c r="D22" s="515" t="s">
        <v>214</v>
      </c>
      <c r="E22" s="516" t="n">
        <f aca="false">3.7*((H6)/100)*Donnees!C12</f>
        <v>112.11444</v>
      </c>
      <c r="F22" s="517" t="n">
        <f aca="false">3.7*((H10)/100)*Donnees!D12</f>
        <v>62.0712</v>
      </c>
      <c r="G22" s="518" t="n">
        <f aca="false">3.7*((H14)/100)*Donnees!E12</f>
        <v>30.38958</v>
      </c>
      <c r="H22" s="509"/>
    </row>
    <row r="23" customFormat="false" ht="28.05" hidden="false" customHeight="true" outlineLevel="0" collapsed="false">
      <c r="D23" s="520" t="s">
        <v>215</v>
      </c>
      <c r="E23" s="521" t="n">
        <f aca="false">E21+E22</f>
        <v>272.240170337079</v>
      </c>
      <c r="F23" s="521" t="n">
        <f aca="false">F21+F22</f>
        <v>1306.90539850187</v>
      </c>
      <c r="G23" s="522" t="n">
        <f aca="false">G21+G22</f>
        <v>686.960377752809</v>
      </c>
      <c r="H23" s="509"/>
    </row>
    <row r="24" customFormat="false" ht="28.05" hidden="false" customHeight="true" outlineLevel="0" collapsed="false">
      <c r="D24" s="523" t="s">
        <v>216</v>
      </c>
      <c r="E24" s="524" t="n">
        <f aca="false">(H8*Donnees!C47)+('Gestion reelle'!H7*Donnees!C56)</f>
        <v>6145</v>
      </c>
      <c r="F24" s="524" t="n">
        <f aca="false">(H11*Donnees!D47)+('Gestion reelle'!H12*Donnees!D56)</f>
        <v>871.2</v>
      </c>
      <c r="G24" s="525" t="n">
        <f aca="false">(H15*Donnees!E47)+('Gestion reelle'!H16*Donnees!E56)</f>
        <v>476.4</v>
      </c>
      <c r="H24" s="509"/>
    </row>
    <row r="25" customFormat="false" ht="28.05" hidden="false" customHeight="true" outlineLevel="0" collapsed="false">
      <c r="D25" s="526" t="s">
        <v>217</v>
      </c>
      <c r="E25" s="527" t="n">
        <f aca="false">E24-E23</f>
        <v>5872.75982966292</v>
      </c>
      <c r="F25" s="527" t="n">
        <f aca="false">F24-F23</f>
        <v>-435.705398501872</v>
      </c>
      <c r="G25" s="528" t="n">
        <f aca="false">G24-G23</f>
        <v>-210.560377752809</v>
      </c>
      <c r="H25" s="509"/>
    </row>
    <row r="26" customFormat="false" ht="36.6" hidden="false" customHeight="true" outlineLevel="0" collapsed="false">
      <c r="D26" s="529" t="s">
        <v>218</v>
      </c>
      <c r="E26" s="529"/>
      <c r="F26" s="529"/>
      <c r="G26" s="529"/>
    </row>
    <row r="27" customFormat="false" ht="24" hidden="false" customHeight="true" outlineLevel="0" collapsed="false">
      <c r="D27" s="530" t="s">
        <v>219</v>
      </c>
      <c r="E27" s="531" t="n">
        <f aca="false">E24+F24+G24</f>
        <v>7492.6</v>
      </c>
      <c r="F27" s="531"/>
      <c r="G27" s="531"/>
    </row>
    <row r="28" customFormat="false" ht="24" hidden="false" customHeight="true" outlineLevel="0" collapsed="false">
      <c r="D28" s="532" t="s">
        <v>197</v>
      </c>
      <c r="E28" s="531" t="n">
        <f aca="false">E23+F23+G23</f>
        <v>2266.10594659176</v>
      </c>
      <c r="F28" s="531"/>
      <c r="G28" s="531"/>
    </row>
    <row r="29" customFormat="false" ht="24" hidden="false" customHeight="true" outlineLevel="0" collapsed="false">
      <c r="D29" s="533" t="s">
        <v>220</v>
      </c>
      <c r="E29" s="531" t="n">
        <f aca="false">E25+F25+G25</f>
        <v>5226.49405340824</v>
      </c>
      <c r="F29" s="531"/>
      <c r="G29" s="531"/>
    </row>
    <row r="30" customFormat="false" ht="24" hidden="false" customHeight="true" outlineLevel="0" collapsed="false">
      <c r="D30" s="532" t="s">
        <v>221</v>
      </c>
      <c r="E30" s="534" t="n">
        <f aca="false">SUM(Donnees!C67:E77)*12</f>
        <v>163.2</v>
      </c>
      <c r="F30" s="534"/>
      <c r="G30" s="534"/>
    </row>
    <row r="31" customFormat="false" ht="24" hidden="false" customHeight="true" outlineLevel="0" collapsed="false">
      <c r="D31" s="535" t="s">
        <v>222</v>
      </c>
      <c r="E31" s="536" t="n">
        <f aca="false">E27-E28-E30</f>
        <v>5063.29405340824</v>
      </c>
      <c r="F31" s="536"/>
      <c r="G31" s="536"/>
    </row>
    <row r="32" customFormat="false" ht="27" hidden="false" customHeight="true" outlineLevel="0" collapsed="false">
      <c r="D32" s="207"/>
    </row>
    <row r="33" customFormat="false" ht="14.4" hidden="false" customHeight="true" outlineLevel="0" collapsed="false">
      <c r="D33" s="537" t="s">
        <v>223</v>
      </c>
      <c r="E33" s="537"/>
      <c r="F33" s="537"/>
      <c r="G33" s="537"/>
      <c r="H33" s="537"/>
    </row>
    <row r="34" customFormat="false" ht="14.4" hidden="false" customHeight="true" outlineLevel="0" collapsed="false">
      <c r="D34" s="537"/>
      <c r="E34" s="537"/>
      <c r="F34" s="537"/>
      <c r="G34" s="537"/>
      <c r="H34" s="537"/>
    </row>
    <row r="35" customFormat="false" ht="30" hidden="false" customHeight="false" outlineLevel="0" collapsed="false">
      <c r="D35" s="538"/>
      <c r="E35" s="539" t="s">
        <v>224</v>
      </c>
      <c r="F35" s="539" t="s">
        <v>148</v>
      </c>
      <c r="G35" s="540" t="s">
        <v>225</v>
      </c>
      <c r="H35" s="540" t="s">
        <v>226</v>
      </c>
    </row>
    <row r="36" customFormat="false" ht="21" hidden="false" customHeight="true" outlineLevel="0" collapsed="false">
      <c r="D36" s="541" t="str">
        <f aca="false">"Biere "&amp;Donnees!C6</f>
        <v>Biere La blonde</v>
      </c>
      <c r="E36" s="542" t="n">
        <f aca="false">Donnees!C79</f>
        <v>20</v>
      </c>
      <c r="F36" s="543" t="n">
        <f aca="false">E36*'Projections Recette 1'!D33</f>
        <v>3761.95460674157</v>
      </c>
      <c r="G36" s="543" t="n">
        <f aca="false">E36*'Projections Recette 1'!D34</f>
        <v>17900</v>
      </c>
      <c r="H36" s="331" t="n">
        <f aca="false">G36-F36</f>
        <v>14138.0453932584</v>
      </c>
    </row>
    <row r="37" customFormat="false" ht="21" hidden="false" customHeight="true" outlineLevel="0" collapsed="false">
      <c r="D37" s="541" t="str">
        <f aca="false">"Biere "&amp;Donnees!D6</f>
        <v>Biere La brune</v>
      </c>
      <c r="E37" s="538" t="n">
        <f aca="false">Donnees!D79</f>
        <v>15</v>
      </c>
      <c r="F37" s="331" t="n">
        <f aca="false">E37*'Projections Recette 2'!D33</f>
        <v>10614.976488764</v>
      </c>
      <c r="G37" s="331" t="n">
        <f aca="false">E37*'Projections Recette 2'!D34</f>
        <v>18978</v>
      </c>
      <c r="H37" s="331" t="n">
        <f aca="false">G37-F37</f>
        <v>8363.02351123596</v>
      </c>
    </row>
    <row r="38" customFormat="false" ht="21" hidden="false" customHeight="true" outlineLevel="0" collapsed="false">
      <c r="D38" s="541" t="str">
        <f aca="false">"Biere "&amp;Donnees!E6</f>
        <v>Biere La blanche</v>
      </c>
      <c r="E38" s="538" t="n">
        <f aca="false">Donnees!E79</f>
        <v>10</v>
      </c>
      <c r="F38" s="331" t="n">
        <f aca="false">E38*'Projections Recette 3'!D33</f>
        <v>2428.3293258427</v>
      </c>
      <c r="G38" s="331" t="n">
        <f aca="false">E38*'Projections Recette 3'!D34</f>
        <v>3740</v>
      </c>
      <c r="H38" s="331" t="n">
        <f aca="false">G38-F38</f>
        <v>1311.6706741573</v>
      </c>
    </row>
    <row r="39" customFormat="false" ht="21" hidden="true" customHeight="true" outlineLevel="0" collapsed="false">
      <c r="D39" s="544" t="s">
        <v>227</v>
      </c>
      <c r="E39" s="544" t="n">
        <f aca="false">SUM(E36:E38)</f>
        <v>45</v>
      </c>
      <c r="F39" s="527" t="n">
        <f aca="false">SUM(F36:F38)</f>
        <v>16805.2604213483</v>
      </c>
      <c r="G39" s="527" t="n">
        <f aca="false">SUM(G36:G38)</f>
        <v>40618</v>
      </c>
      <c r="H39" s="527" t="n">
        <f aca="false">SUM(H36:H38)</f>
        <v>23812.7395786517</v>
      </c>
    </row>
    <row r="40" customFormat="false" ht="28.8" hidden="false" customHeight="true" outlineLevel="0" collapsed="false"/>
    <row r="41" customFormat="false" ht="23.4" hidden="false" customHeight="true" outlineLevel="0" collapsed="false">
      <c r="D41" s="537" t="s">
        <v>228</v>
      </c>
      <c r="E41" s="537"/>
      <c r="F41" s="537"/>
      <c r="G41" s="537"/>
    </row>
    <row r="42" customFormat="false" ht="20.4" hidden="false" customHeight="true" outlineLevel="0" collapsed="false">
      <c r="D42" s="545" t="s">
        <v>229</v>
      </c>
      <c r="E42" s="546" t="s">
        <v>225</v>
      </c>
      <c r="F42" s="546"/>
      <c r="G42" s="547" t="n">
        <f aca="false">G39</f>
        <v>40618</v>
      </c>
    </row>
    <row r="43" customFormat="false" ht="18" hidden="false" customHeight="true" outlineLevel="0" collapsed="false">
      <c r="D43" s="545"/>
      <c r="E43" s="546" t="s">
        <v>148</v>
      </c>
      <c r="F43" s="546"/>
      <c r="G43" s="547" t="n">
        <f aca="false">F39</f>
        <v>16805.2604213483</v>
      </c>
    </row>
    <row r="44" customFormat="false" ht="19.95" hidden="false" customHeight="true" outlineLevel="0" collapsed="false">
      <c r="D44" s="545"/>
      <c r="E44" s="546" t="s">
        <v>230</v>
      </c>
      <c r="F44" s="546"/>
      <c r="G44" s="548" t="n">
        <f aca="false">H39</f>
        <v>23812.7395786517</v>
      </c>
      <c r="H44" s="2"/>
      <c r="I44" s="2"/>
    </row>
    <row r="45" customFormat="false" ht="19.95" hidden="false" customHeight="true" outlineLevel="0" collapsed="false">
      <c r="D45" s="545"/>
      <c r="E45" s="546" t="s">
        <v>231</v>
      </c>
      <c r="F45" s="546"/>
      <c r="G45" s="547" t="n">
        <f aca="false">SUM(Donnees!C67:E77)*12</f>
        <v>163.2</v>
      </c>
      <c r="H45" s="2"/>
      <c r="I45" s="2"/>
    </row>
    <row r="46" customFormat="false" ht="19.95" hidden="false" customHeight="true" outlineLevel="0" collapsed="false">
      <c r="D46" s="545"/>
      <c r="E46" s="546" t="s">
        <v>232</v>
      </c>
      <c r="F46" s="546"/>
      <c r="G46" s="547" t="n">
        <f aca="false">G44-G45</f>
        <v>23649.5395786517</v>
      </c>
      <c r="H46" s="2"/>
      <c r="I46" s="2"/>
    </row>
    <row r="47" customFormat="false" ht="19.95" hidden="false" customHeight="true" outlineLevel="0" collapsed="false">
      <c r="D47" s="549" t="s">
        <v>233</v>
      </c>
      <c r="E47" s="550" t="s">
        <v>234</v>
      </c>
      <c r="F47" s="550"/>
      <c r="G47" s="551" t="n">
        <f aca="false">IF(G46&gt;=38120,(38120*15%),(G44*15%))</f>
        <v>3571.91093679775</v>
      </c>
      <c r="H47" s="2"/>
      <c r="I47" s="2"/>
    </row>
    <row r="48" customFormat="false" ht="19.95" hidden="false" customHeight="true" outlineLevel="0" collapsed="false">
      <c r="D48" s="549"/>
      <c r="E48" s="550" t="s">
        <v>235</v>
      </c>
      <c r="F48" s="550"/>
      <c r="G48" s="552" t="n">
        <f aca="false">IF(G46&lt;38120,0,IF(G46&lt;75000,(G46-38120)*28%,(36880)*28%))</f>
        <v>0</v>
      </c>
      <c r="H48" s="2"/>
      <c r="I48" s="2"/>
    </row>
    <row r="49" customFormat="false" ht="19.95" hidden="false" customHeight="true" outlineLevel="0" collapsed="false">
      <c r="D49" s="549"/>
      <c r="E49" s="550" t="s">
        <v>236</v>
      </c>
      <c r="F49" s="550"/>
      <c r="G49" s="551" t="n">
        <f aca="false">IF(G46&lt;75000,0,IF(G46&gt;75001,(G46-75001)*33,33%))</f>
        <v>0</v>
      </c>
      <c r="H49" s="2"/>
      <c r="I49" s="2"/>
    </row>
    <row r="50" customFormat="false" ht="19.95" hidden="false" customHeight="true" outlineLevel="0" collapsed="false">
      <c r="D50" s="549"/>
      <c r="E50" s="553" t="s">
        <v>237</v>
      </c>
      <c r="F50" s="553"/>
      <c r="G50" s="554" t="n">
        <f aca="false">SUM(G47:G49)</f>
        <v>3571.91093679775</v>
      </c>
      <c r="H50" s="2"/>
      <c r="I50" s="2"/>
    </row>
    <row r="51" customFormat="false" ht="19.95" hidden="false" customHeight="true" outlineLevel="0" collapsed="false">
      <c r="D51" s="555" t="s">
        <v>238</v>
      </c>
      <c r="E51" s="556" t="s">
        <v>239</v>
      </c>
      <c r="F51" s="556"/>
      <c r="G51" s="557" t="n">
        <f aca="false">G46-G50</f>
        <v>20077.6286418539</v>
      </c>
      <c r="H51" s="2"/>
      <c r="I51" s="2"/>
    </row>
    <row r="52" customFormat="false" ht="19.95" hidden="false" customHeight="true" outlineLevel="0" collapsed="false">
      <c r="D52" s="555"/>
      <c r="E52" s="556" t="s">
        <v>240</v>
      </c>
      <c r="F52" s="556"/>
      <c r="G52" s="557" t="n">
        <f aca="false">G51/12</f>
        <v>1673.13572015449</v>
      </c>
      <c r="H52" s="2"/>
      <c r="I52" s="2"/>
    </row>
  </sheetData>
  <mergeCells count="31">
    <mergeCell ref="C2:I2"/>
    <mergeCell ref="C3:I3"/>
    <mergeCell ref="C5:D5"/>
    <mergeCell ref="C6:C8"/>
    <mergeCell ref="D9:I9"/>
    <mergeCell ref="C10:C12"/>
    <mergeCell ref="C14:C16"/>
    <mergeCell ref="D19:G19"/>
    <mergeCell ref="I21:J21"/>
    <mergeCell ref="D26:G26"/>
    <mergeCell ref="E27:G27"/>
    <mergeCell ref="E28:G28"/>
    <mergeCell ref="E29:G29"/>
    <mergeCell ref="E30:G30"/>
    <mergeCell ref="E31:G31"/>
    <mergeCell ref="D33:H34"/>
    <mergeCell ref="D41:G41"/>
    <mergeCell ref="D42:D46"/>
    <mergeCell ref="E42:F42"/>
    <mergeCell ref="E43:F43"/>
    <mergeCell ref="E44:F44"/>
    <mergeCell ref="E45:F45"/>
    <mergeCell ref="E46:F46"/>
    <mergeCell ref="D47:D50"/>
    <mergeCell ref="E47:F47"/>
    <mergeCell ref="E48:F48"/>
    <mergeCell ref="E49:F49"/>
    <mergeCell ref="E50:F50"/>
    <mergeCell ref="D51:D52"/>
    <mergeCell ref="E51:F51"/>
    <mergeCell ref="E52:F52"/>
  </mergeCells>
  <conditionalFormatting sqref="E31:G31">
    <cfRule type="cellIs" priority="2" operator="greaterThan" aboveAverage="0" equalAverage="0" bottom="0" percent="0" rank="0" text="" dxfId="8">
      <formula>0</formula>
    </cfRule>
    <cfRule type="cellIs" priority="3" operator="lessThan" aboveAverage="0" equalAverage="0" bottom="0" percent="0" rank="0" text="" dxfId="9">
      <formula>1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020"/>
  <sheetViews>
    <sheetView showFormulas="false" showGridLines="false" showRowColHeaders="true" showZeros="true" rightToLeft="false" tabSelected="false" showOutlineSymbols="true" defaultGridColor="true" view="normal" topLeftCell="A6" colorId="64" zoomScale="85" zoomScaleNormal="85" zoomScalePageLayoutView="100" workbookViewId="0">
      <selection pane="topLeft" activeCell="F8" activeCellId="0" sqref="F8"/>
    </sheetView>
  </sheetViews>
  <sheetFormatPr defaultColWidth="8.90234375" defaultRowHeight="21" zeroHeight="false" outlineLevelRow="0" outlineLevelCol="0"/>
  <cols>
    <col collapsed="false" customWidth="true" hidden="false" outlineLevel="0" max="1" min="1" style="207" width="4.33"/>
    <col collapsed="false" customWidth="true" hidden="false" outlineLevel="0" max="2" min="2" style="558" width="11.64"/>
    <col collapsed="false" customWidth="true" hidden="false" outlineLevel="0" max="3" min="3" style="558" width="26.56"/>
    <col collapsed="false" customWidth="true" hidden="false" outlineLevel="0" max="4" min="4" style="559" width="17.44"/>
    <col collapsed="false" customWidth="true" hidden="false" outlineLevel="0" max="5" min="5" style="560" width="30.78"/>
    <col collapsed="false" customWidth="true" hidden="false" outlineLevel="0" max="6" min="6" style="560" width="20.11"/>
    <col collapsed="false" customWidth="true" hidden="false" outlineLevel="0" max="7" min="7" style="559" width="22.66"/>
    <col collapsed="false" customWidth="true" hidden="false" outlineLevel="0" max="8" min="8" style="559" width="25.33"/>
    <col collapsed="false" customWidth="true" hidden="false" outlineLevel="0" max="9" min="9" style="207" width="16.56"/>
    <col collapsed="false" customWidth="true" hidden="false" outlineLevel="0" max="10" min="10" style="207" width="16.44"/>
    <col collapsed="false" customWidth="true" hidden="true" outlineLevel="0" max="11" min="11" style="207" width="14.11"/>
    <col collapsed="false" customWidth="false" hidden="false" outlineLevel="0" max="13" min="12" style="207" width="8.89"/>
    <col collapsed="false" customWidth="false" hidden="true" outlineLevel="0" max="14" min="14" style="207" width="8.89"/>
    <col collapsed="false" customWidth="true" hidden="true" outlineLevel="0" max="15" min="15" style="207" width="11.52"/>
    <col collapsed="false" customWidth="false" hidden="false" outlineLevel="0" max="1024" min="16" style="207" width="8.89"/>
  </cols>
  <sheetData>
    <row r="1" customFormat="false" ht="49.2" hidden="false" customHeight="true" outlineLevel="0" collapsed="false">
      <c r="B1" s="561" t="s">
        <v>241</v>
      </c>
      <c r="C1" s="561"/>
      <c r="D1" s="561"/>
      <c r="E1" s="561"/>
      <c r="F1" s="561"/>
      <c r="G1" s="561"/>
      <c r="H1" s="561"/>
    </row>
    <row r="2" customFormat="false" ht="28.2" hidden="true" customHeight="true" outlineLevel="0" collapsed="false">
      <c r="B2" s="562"/>
      <c r="C2" s="562"/>
      <c r="D2" s="562"/>
      <c r="E2" s="563" t="s">
        <v>242</v>
      </c>
      <c r="F2" s="563"/>
      <c r="G2" s="562" t="str">
        <f aca="false">"Recette "&amp;Donnees!C6</f>
        <v>Recette La blonde</v>
      </c>
      <c r="H2" s="211" t="str">
        <f aca="false">"Recette "&amp;Donnees!D6</f>
        <v>Recette La brune</v>
      </c>
      <c r="I2" s="211" t="str">
        <f aca="false">"Recette "&amp;Donnees!E6</f>
        <v>Recette La blanche</v>
      </c>
    </row>
    <row r="3" customFormat="false" ht="25.2" hidden="true" customHeight="true" outlineLevel="0" collapsed="false">
      <c r="B3" s="562"/>
      <c r="C3" s="562"/>
      <c r="D3" s="509"/>
      <c r="E3" s="299" t="s">
        <v>243</v>
      </c>
      <c r="F3" s="299"/>
      <c r="G3" s="564" t="n">
        <f aca="false">SUMIFS(D8:D1000,F8:F1000,Donnees!C6,E8:E1000,Donnees!C51)</f>
        <v>170</v>
      </c>
      <c r="H3" s="564" t="n">
        <f aca="false">SUMIFS(D8:D1000,F8:F1000,Donnees!D6,E8:E1000,Donnees!D51)</f>
        <v>174</v>
      </c>
      <c r="I3" s="211" t="n">
        <f aca="false">SUMIFS(D8:D1000,F8:F1000,Donnees!E6,E8:E1000,Donnees!E51)</f>
        <v>24</v>
      </c>
    </row>
    <row r="4" customFormat="false" ht="25.2" hidden="true" customHeight="true" outlineLevel="0" collapsed="false">
      <c r="B4" s="562"/>
      <c r="C4" s="562"/>
      <c r="D4" s="509"/>
      <c r="E4" s="299" t="s">
        <v>244</v>
      </c>
      <c r="F4" s="299"/>
      <c r="G4" s="206" t="n">
        <f aca="false">SUMIFS(D8:D1000,F8:F1000,Donnees!C6,E8:E1000,Donnees!C42)</f>
        <v>1144</v>
      </c>
      <c r="H4" s="211" t="n">
        <f aca="false">SUMIFS(D8:D1000,F8:F1000,Donnees!D6,E8:E1000,Donnees!D42)</f>
        <v>240</v>
      </c>
      <c r="I4" s="211" t="n">
        <f aca="false">SUMIFS(D8:D1000,F8:F1000,Donnees!E6,E8:E1000,Donnees!E42)</f>
        <v>222</v>
      </c>
    </row>
    <row r="5" customFormat="false" ht="10.2" hidden="false" customHeight="true" outlineLevel="0" collapsed="false">
      <c r="B5" s="562"/>
      <c r="C5" s="562"/>
      <c r="D5" s="509"/>
      <c r="E5" s="299"/>
      <c r="F5" s="299"/>
      <c r="G5" s="565"/>
      <c r="H5" s="509"/>
    </row>
    <row r="6" customFormat="false" ht="31.2" hidden="false" customHeight="true" outlineLevel="0" collapsed="false">
      <c r="B6" s="566" t="s">
        <v>245</v>
      </c>
      <c r="C6" s="566"/>
      <c r="D6" s="566"/>
      <c r="E6" s="566"/>
      <c r="F6" s="566"/>
      <c r="G6" s="566"/>
      <c r="H6" s="566"/>
    </row>
    <row r="7" customFormat="false" ht="42.6" hidden="false" customHeight="true" outlineLevel="0" collapsed="false">
      <c r="B7" s="567" t="s">
        <v>246</v>
      </c>
      <c r="C7" s="567" t="s">
        <v>247</v>
      </c>
      <c r="D7" s="567" t="s">
        <v>248</v>
      </c>
      <c r="E7" s="567" t="str">
        <f aca="false">" Contenance bouteilles "</f>
        <v>Contenance bouteilles</v>
      </c>
      <c r="F7" s="567" t="s">
        <v>249</v>
      </c>
      <c r="G7" s="568" t="s">
        <v>250</v>
      </c>
      <c r="H7" s="568" t="s">
        <v>251</v>
      </c>
      <c r="N7" s="207" t="str">
        <f aca="false">Donnees!C6</f>
        <v>La blonde</v>
      </c>
    </row>
    <row r="8" s="569" customFormat="true" ht="21" hidden="false" customHeight="true" outlineLevel="0" collapsed="false">
      <c r="B8" s="570" t="n">
        <v>42747</v>
      </c>
      <c r="C8" s="571" t="s">
        <v>252</v>
      </c>
      <c r="D8" s="571" t="n">
        <v>78</v>
      </c>
      <c r="E8" s="571" t="n">
        <v>0.33</v>
      </c>
      <c r="F8" s="571" t="s">
        <v>11</v>
      </c>
      <c r="G8" s="571" t="n">
        <v>0</v>
      </c>
      <c r="H8" s="571"/>
      <c r="N8" s="569" t="str">
        <f aca="false">Donnees!D6</f>
        <v>La brune</v>
      </c>
    </row>
    <row r="9" s="569" customFormat="true" ht="21" hidden="false" customHeight="true" outlineLevel="0" collapsed="false">
      <c r="B9" s="570" t="n">
        <v>42747</v>
      </c>
      <c r="C9" s="571" t="s">
        <v>253</v>
      </c>
      <c r="D9" s="571" t="n">
        <v>24</v>
      </c>
      <c r="E9" s="571" t="n">
        <v>0.75</v>
      </c>
      <c r="F9" s="571" t="s">
        <v>11</v>
      </c>
      <c r="G9" s="571"/>
      <c r="H9" s="571"/>
      <c r="K9" s="569" t="n">
        <f aca="false">Donnees!C42</f>
        <v>0.33</v>
      </c>
      <c r="N9" s="569" t="str">
        <f aca="false">Donnees!E6</f>
        <v>La blanche</v>
      </c>
    </row>
    <row r="10" s="569" customFormat="true" ht="21" hidden="false" customHeight="true" outlineLevel="0" collapsed="false">
      <c r="B10" s="570" t="n">
        <v>42747</v>
      </c>
      <c r="C10" s="571" t="s">
        <v>254</v>
      </c>
      <c r="D10" s="571" t="n">
        <v>48</v>
      </c>
      <c r="E10" s="571" t="n">
        <v>0.33</v>
      </c>
      <c r="F10" s="571" t="s">
        <v>11</v>
      </c>
      <c r="G10" s="571"/>
      <c r="H10" s="571"/>
      <c r="K10" s="569" t="n">
        <f aca="false">Donnees!C51</f>
        <v>0.75</v>
      </c>
    </row>
    <row r="11" s="569" customFormat="true" ht="21" hidden="false" customHeight="true" outlineLevel="0" collapsed="false">
      <c r="B11" s="570" t="n">
        <v>42747</v>
      </c>
      <c r="C11" s="571" t="s">
        <v>255</v>
      </c>
      <c r="D11" s="571" t="n">
        <v>96</v>
      </c>
      <c r="E11" s="571" t="n">
        <v>0.33</v>
      </c>
      <c r="F11" s="571" t="s">
        <v>11</v>
      </c>
      <c r="G11" s="571"/>
      <c r="H11" s="571"/>
    </row>
    <row r="12" s="569" customFormat="true" ht="21" hidden="false" customHeight="true" outlineLevel="0" collapsed="false">
      <c r="B12" s="570" t="n">
        <v>42747</v>
      </c>
      <c r="C12" s="571" t="s">
        <v>256</v>
      </c>
      <c r="D12" s="571" t="n">
        <v>120</v>
      </c>
      <c r="E12" s="571" t="n">
        <v>0.75</v>
      </c>
      <c r="F12" s="571" t="s">
        <v>9</v>
      </c>
      <c r="G12" s="571" t="n">
        <v>30</v>
      </c>
      <c r="H12" s="571"/>
    </row>
    <row r="13" s="569" customFormat="true" ht="21" hidden="false" customHeight="true" outlineLevel="0" collapsed="false">
      <c r="B13" s="570" t="n">
        <v>42747</v>
      </c>
      <c r="C13" s="571" t="s">
        <v>257</v>
      </c>
      <c r="D13" s="571" t="n">
        <v>50</v>
      </c>
      <c r="E13" s="571" t="n">
        <v>0.75</v>
      </c>
      <c r="F13" s="571" t="s">
        <v>9</v>
      </c>
      <c r="G13" s="571" t="n">
        <v>0</v>
      </c>
      <c r="H13" s="571"/>
    </row>
    <row r="14" s="569" customFormat="true" ht="21" hidden="false" customHeight="true" outlineLevel="0" collapsed="false">
      <c r="B14" s="570" t="n">
        <v>42747</v>
      </c>
      <c r="C14" s="571" t="s">
        <v>258</v>
      </c>
      <c r="D14" s="571" t="n">
        <v>240</v>
      </c>
      <c r="E14" s="571" t="n">
        <v>0.33</v>
      </c>
      <c r="F14" s="571" t="s">
        <v>9</v>
      </c>
      <c r="G14" s="571"/>
      <c r="H14" s="571"/>
    </row>
    <row r="15" s="569" customFormat="true" ht="21" hidden="false" customHeight="true" outlineLevel="0" collapsed="false">
      <c r="B15" s="570" t="n">
        <v>42747</v>
      </c>
      <c r="C15" s="571" t="s">
        <v>259</v>
      </c>
      <c r="D15" s="571" t="n">
        <v>226</v>
      </c>
      <c r="E15" s="571" t="n">
        <v>0.33</v>
      </c>
      <c r="F15" s="571" t="s">
        <v>9</v>
      </c>
      <c r="G15" s="571"/>
      <c r="H15" s="571"/>
    </row>
    <row r="16" s="569" customFormat="true" ht="21" hidden="false" customHeight="true" outlineLevel="0" collapsed="false">
      <c r="B16" s="570" t="n">
        <v>42747</v>
      </c>
      <c r="C16" s="571" t="s">
        <v>255</v>
      </c>
      <c r="D16" s="571" t="n">
        <v>678</v>
      </c>
      <c r="E16" s="571" t="n">
        <v>0.33</v>
      </c>
      <c r="F16" s="571" t="s">
        <v>9</v>
      </c>
      <c r="G16" s="571"/>
      <c r="H16" s="571"/>
    </row>
    <row r="17" s="569" customFormat="true" ht="21" hidden="false" customHeight="true" outlineLevel="0" collapsed="false">
      <c r="B17" s="570" t="n">
        <v>42747</v>
      </c>
      <c r="C17" s="571" t="s">
        <v>260</v>
      </c>
      <c r="D17" s="571" t="n">
        <v>120</v>
      </c>
      <c r="E17" s="571" t="n">
        <v>0.33</v>
      </c>
      <c r="F17" s="571" t="s">
        <v>10</v>
      </c>
      <c r="G17" s="571" t="n">
        <v>30</v>
      </c>
      <c r="H17" s="571"/>
    </row>
    <row r="18" s="569" customFormat="true" ht="21" hidden="false" customHeight="true" outlineLevel="0" collapsed="false">
      <c r="B18" s="570" t="n">
        <v>42747</v>
      </c>
      <c r="C18" s="571" t="s">
        <v>261</v>
      </c>
      <c r="D18" s="571" t="n">
        <v>150</v>
      </c>
      <c r="E18" s="571" t="n">
        <v>0.75</v>
      </c>
      <c r="F18" s="571" t="s">
        <v>10</v>
      </c>
      <c r="G18" s="571"/>
      <c r="H18" s="571"/>
    </row>
    <row r="19" s="569" customFormat="true" ht="21" hidden="false" customHeight="true" outlineLevel="0" collapsed="false">
      <c r="B19" s="570" t="n">
        <v>42747</v>
      </c>
      <c r="C19" s="571" t="s">
        <v>262</v>
      </c>
      <c r="D19" s="571" t="n">
        <v>24</v>
      </c>
      <c r="E19" s="571" t="n">
        <v>0.75</v>
      </c>
      <c r="F19" s="571" t="s">
        <v>10</v>
      </c>
      <c r="G19" s="571"/>
      <c r="H19" s="571"/>
    </row>
    <row r="20" s="569" customFormat="true" ht="21" hidden="false" customHeight="true" outlineLevel="0" collapsed="false">
      <c r="B20" s="570" t="n">
        <v>42747</v>
      </c>
      <c r="C20" s="571" t="s">
        <v>263</v>
      </c>
      <c r="D20" s="571" t="n">
        <v>120</v>
      </c>
      <c r="E20" s="571" t="n">
        <v>0.33</v>
      </c>
      <c r="F20" s="571" t="s">
        <v>10</v>
      </c>
      <c r="G20" s="571"/>
      <c r="H20" s="571"/>
    </row>
    <row r="21" s="569" customFormat="true" ht="21" hidden="false" customHeight="true" outlineLevel="0" collapsed="false">
      <c r="B21" s="570"/>
      <c r="C21" s="571"/>
      <c r="D21" s="571"/>
      <c r="E21" s="571"/>
      <c r="F21" s="571"/>
      <c r="G21" s="571"/>
      <c r="H21" s="571"/>
    </row>
    <row r="22" s="569" customFormat="true" ht="21" hidden="false" customHeight="true" outlineLevel="0" collapsed="false">
      <c r="B22" s="570"/>
      <c r="C22" s="571"/>
      <c r="D22" s="571"/>
      <c r="E22" s="571"/>
      <c r="F22" s="571"/>
      <c r="G22" s="571"/>
      <c r="H22" s="571"/>
    </row>
    <row r="23" s="569" customFormat="true" ht="21" hidden="false" customHeight="true" outlineLevel="0" collapsed="false">
      <c r="B23" s="570"/>
      <c r="C23" s="571"/>
      <c r="D23" s="571"/>
      <c r="E23" s="571"/>
      <c r="F23" s="571"/>
      <c r="G23" s="571"/>
      <c r="H23" s="571"/>
    </row>
    <row r="24" s="569" customFormat="true" ht="21" hidden="false" customHeight="true" outlineLevel="0" collapsed="false">
      <c r="B24" s="570"/>
      <c r="C24" s="571"/>
      <c r="D24" s="571"/>
      <c r="E24" s="571"/>
      <c r="F24" s="571"/>
      <c r="G24" s="571"/>
      <c r="H24" s="571"/>
    </row>
    <row r="25" s="569" customFormat="true" ht="21" hidden="false" customHeight="true" outlineLevel="0" collapsed="false">
      <c r="B25" s="570"/>
      <c r="C25" s="571"/>
      <c r="D25" s="571"/>
      <c r="E25" s="571"/>
      <c r="F25" s="571"/>
      <c r="G25" s="571"/>
      <c r="H25" s="571"/>
    </row>
    <row r="26" s="569" customFormat="true" ht="21" hidden="false" customHeight="true" outlineLevel="0" collapsed="false">
      <c r="B26" s="570"/>
      <c r="C26" s="571"/>
      <c r="D26" s="571"/>
      <c r="E26" s="571"/>
      <c r="F26" s="571"/>
      <c r="G26" s="571"/>
      <c r="H26" s="571"/>
    </row>
    <row r="27" s="569" customFormat="true" ht="21" hidden="false" customHeight="true" outlineLevel="0" collapsed="false">
      <c r="B27" s="570"/>
      <c r="C27" s="571"/>
      <c r="D27" s="571"/>
      <c r="E27" s="571"/>
      <c r="F27" s="571"/>
      <c r="G27" s="571"/>
      <c r="H27" s="571"/>
    </row>
    <row r="28" s="569" customFormat="true" ht="21" hidden="false" customHeight="true" outlineLevel="0" collapsed="false">
      <c r="B28" s="570"/>
      <c r="C28" s="571"/>
      <c r="D28" s="571"/>
      <c r="E28" s="571"/>
      <c r="F28" s="571"/>
      <c r="G28" s="571"/>
      <c r="H28" s="571"/>
    </row>
    <row r="29" s="569" customFormat="true" ht="21" hidden="false" customHeight="true" outlineLevel="0" collapsed="false">
      <c r="B29" s="570"/>
      <c r="C29" s="571"/>
      <c r="D29" s="571"/>
      <c r="E29" s="571"/>
      <c r="F29" s="571"/>
      <c r="G29" s="571"/>
      <c r="H29" s="571"/>
    </row>
    <row r="30" s="569" customFormat="true" ht="21" hidden="false" customHeight="true" outlineLevel="0" collapsed="false">
      <c r="B30" s="570"/>
      <c r="C30" s="571"/>
      <c r="D30" s="571"/>
      <c r="E30" s="571"/>
      <c r="F30" s="571"/>
      <c r="G30" s="571"/>
      <c r="H30" s="571"/>
    </row>
    <row r="31" s="569" customFormat="true" ht="21" hidden="false" customHeight="true" outlineLevel="0" collapsed="false">
      <c r="B31" s="570"/>
      <c r="C31" s="571"/>
      <c r="D31" s="571"/>
      <c r="E31" s="571"/>
      <c r="F31" s="571"/>
      <c r="G31" s="571"/>
      <c r="H31" s="571"/>
    </row>
    <row r="32" s="569" customFormat="true" ht="21" hidden="false" customHeight="true" outlineLevel="0" collapsed="false">
      <c r="B32" s="570"/>
      <c r="C32" s="571"/>
      <c r="D32" s="571"/>
      <c r="E32" s="571"/>
      <c r="F32" s="571"/>
      <c r="G32" s="571"/>
      <c r="H32" s="571"/>
    </row>
    <row r="33" s="569" customFormat="true" ht="21" hidden="false" customHeight="true" outlineLevel="0" collapsed="false">
      <c r="B33" s="570"/>
      <c r="C33" s="571"/>
      <c r="D33" s="571"/>
      <c r="E33" s="571"/>
      <c r="F33" s="571"/>
      <c r="G33" s="571"/>
      <c r="H33" s="571"/>
    </row>
    <row r="34" s="569" customFormat="true" ht="21" hidden="false" customHeight="true" outlineLevel="0" collapsed="false">
      <c r="B34" s="570"/>
      <c r="C34" s="571"/>
      <c r="D34" s="571"/>
      <c r="E34" s="571"/>
      <c r="F34" s="571"/>
      <c r="G34" s="571"/>
      <c r="H34" s="571"/>
    </row>
    <row r="35" s="569" customFormat="true" ht="21" hidden="false" customHeight="true" outlineLevel="0" collapsed="false">
      <c r="B35" s="570"/>
      <c r="C35" s="571"/>
      <c r="D35" s="571"/>
      <c r="E35" s="571"/>
      <c r="F35" s="571"/>
      <c r="G35" s="571"/>
      <c r="H35" s="571"/>
    </row>
    <row r="36" s="569" customFormat="true" ht="21" hidden="false" customHeight="true" outlineLevel="0" collapsed="false">
      <c r="B36" s="570"/>
      <c r="C36" s="571"/>
      <c r="D36" s="571"/>
      <c r="E36" s="571"/>
      <c r="F36" s="571"/>
      <c r="G36" s="571"/>
      <c r="H36" s="571"/>
    </row>
    <row r="37" s="569" customFormat="true" ht="21" hidden="false" customHeight="true" outlineLevel="0" collapsed="false">
      <c r="B37" s="570"/>
      <c r="C37" s="571"/>
      <c r="D37" s="571"/>
      <c r="E37" s="571"/>
      <c r="F37" s="571"/>
      <c r="G37" s="571"/>
      <c r="H37" s="571"/>
    </row>
    <row r="38" s="569" customFormat="true" ht="21" hidden="false" customHeight="true" outlineLevel="0" collapsed="false">
      <c r="B38" s="570"/>
      <c r="C38" s="571"/>
      <c r="D38" s="571"/>
      <c r="E38" s="571"/>
      <c r="F38" s="571"/>
      <c r="G38" s="571"/>
      <c r="H38" s="571"/>
    </row>
    <row r="39" s="569" customFormat="true" ht="21" hidden="false" customHeight="true" outlineLevel="0" collapsed="false">
      <c r="B39" s="570"/>
      <c r="C39" s="571"/>
      <c r="D39" s="571"/>
      <c r="E39" s="571"/>
      <c r="F39" s="571"/>
      <c r="G39" s="571"/>
      <c r="H39" s="571"/>
    </row>
    <row r="40" s="569" customFormat="true" ht="21" hidden="false" customHeight="true" outlineLevel="0" collapsed="false">
      <c r="B40" s="570"/>
      <c r="C40" s="571"/>
      <c r="D40" s="571"/>
      <c r="E40" s="571"/>
      <c r="F40" s="571"/>
      <c r="G40" s="571"/>
      <c r="H40" s="571"/>
    </row>
    <row r="41" s="569" customFormat="true" ht="21" hidden="false" customHeight="true" outlineLevel="0" collapsed="false">
      <c r="B41" s="570"/>
      <c r="C41" s="571"/>
      <c r="D41" s="571"/>
      <c r="E41" s="571"/>
      <c r="F41" s="571"/>
      <c r="G41" s="571"/>
      <c r="H41" s="571"/>
    </row>
    <row r="42" s="569" customFormat="true" ht="21" hidden="false" customHeight="true" outlineLevel="0" collapsed="false">
      <c r="B42" s="570"/>
      <c r="C42" s="571"/>
      <c r="D42" s="571"/>
      <c r="E42" s="571"/>
      <c r="F42" s="571"/>
      <c r="G42" s="571"/>
      <c r="H42" s="571"/>
    </row>
    <row r="43" s="569" customFormat="true" ht="21" hidden="false" customHeight="true" outlineLevel="0" collapsed="false">
      <c r="B43" s="570"/>
      <c r="C43" s="571"/>
      <c r="D43" s="571"/>
      <c r="E43" s="571"/>
      <c r="F43" s="571"/>
      <c r="G43" s="571"/>
      <c r="H43" s="571"/>
    </row>
    <row r="44" s="569" customFormat="true" ht="21" hidden="false" customHeight="true" outlineLevel="0" collapsed="false">
      <c r="B44" s="570"/>
      <c r="C44" s="571"/>
      <c r="D44" s="571"/>
      <c r="E44" s="571"/>
      <c r="F44" s="571"/>
      <c r="G44" s="571"/>
      <c r="H44" s="571"/>
    </row>
    <row r="45" s="569" customFormat="true" ht="21" hidden="false" customHeight="true" outlineLevel="0" collapsed="false">
      <c r="B45" s="570"/>
      <c r="C45" s="571"/>
      <c r="D45" s="571"/>
      <c r="E45" s="571"/>
      <c r="F45" s="571"/>
      <c r="G45" s="571"/>
      <c r="H45" s="571"/>
    </row>
    <row r="46" s="569" customFormat="true" ht="21" hidden="false" customHeight="true" outlineLevel="0" collapsed="false">
      <c r="B46" s="570"/>
      <c r="C46" s="571"/>
      <c r="D46" s="571"/>
      <c r="E46" s="571"/>
      <c r="F46" s="571"/>
      <c r="G46" s="571"/>
      <c r="H46" s="571"/>
    </row>
    <row r="47" s="569" customFormat="true" ht="21" hidden="false" customHeight="true" outlineLevel="0" collapsed="false">
      <c r="B47" s="570"/>
      <c r="C47" s="571"/>
      <c r="D47" s="571"/>
      <c r="E47" s="571"/>
      <c r="F47" s="571"/>
      <c r="G47" s="571"/>
      <c r="H47" s="571"/>
    </row>
    <row r="48" s="569" customFormat="true" ht="21" hidden="false" customHeight="true" outlineLevel="0" collapsed="false">
      <c r="B48" s="570"/>
      <c r="C48" s="571"/>
      <c r="D48" s="571"/>
      <c r="E48" s="571"/>
      <c r="F48" s="571"/>
      <c r="G48" s="571"/>
      <c r="H48" s="571"/>
    </row>
    <row r="49" s="569" customFormat="true" ht="21" hidden="false" customHeight="true" outlineLevel="0" collapsed="false">
      <c r="B49" s="570"/>
      <c r="C49" s="571"/>
      <c r="D49" s="571"/>
      <c r="E49" s="571"/>
      <c r="F49" s="571"/>
      <c r="G49" s="571"/>
      <c r="H49" s="571"/>
    </row>
    <row r="50" s="569" customFormat="true" ht="21" hidden="false" customHeight="true" outlineLevel="0" collapsed="false">
      <c r="B50" s="570"/>
      <c r="C50" s="571"/>
      <c r="D50" s="571"/>
      <c r="E50" s="571"/>
      <c r="F50" s="571"/>
      <c r="G50" s="571"/>
      <c r="H50" s="571"/>
    </row>
    <row r="51" s="569" customFormat="true" ht="21" hidden="false" customHeight="true" outlineLevel="0" collapsed="false">
      <c r="B51" s="570"/>
      <c r="C51" s="571"/>
      <c r="D51" s="571"/>
      <c r="E51" s="571"/>
      <c r="F51" s="571"/>
      <c r="G51" s="571"/>
      <c r="H51" s="571"/>
    </row>
    <row r="52" s="569" customFormat="true" ht="21" hidden="false" customHeight="true" outlineLevel="0" collapsed="false">
      <c r="B52" s="570"/>
      <c r="C52" s="571"/>
      <c r="D52" s="571"/>
      <c r="E52" s="571"/>
      <c r="F52" s="571"/>
      <c r="G52" s="571"/>
      <c r="H52" s="571"/>
    </row>
    <row r="53" s="569" customFormat="true" ht="21" hidden="false" customHeight="true" outlineLevel="0" collapsed="false">
      <c r="B53" s="570"/>
      <c r="C53" s="571"/>
      <c r="D53" s="571"/>
      <c r="E53" s="571"/>
      <c r="F53" s="571"/>
      <c r="G53" s="571"/>
      <c r="H53" s="571"/>
    </row>
    <row r="54" s="569" customFormat="true" ht="21" hidden="false" customHeight="true" outlineLevel="0" collapsed="false">
      <c r="B54" s="570"/>
      <c r="C54" s="571"/>
      <c r="D54" s="571"/>
      <c r="E54" s="571"/>
      <c r="F54" s="571"/>
      <c r="G54" s="571"/>
      <c r="H54" s="571"/>
    </row>
    <row r="55" s="569" customFormat="true" ht="21" hidden="false" customHeight="true" outlineLevel="0" collapsed="false">
      <c r="B55" s="570"/>
      <c r="C55" s="571"/>
      <c r="D55" s="571"/>
      <c r="E55" s="571"/>
      <c r="F55" s="571"/>
      <c r="G55" s="571"/>
      <c r="H55" s="571"/>
    </row>
    <row r="56" s="569" customFormat="true" ht="21" hidden="false" customHeight="true" outlineLevel="0" collapsed="false">
      <c r="B56" s="570"/>
      <c r="C56" s="571"/>
      <c r="D56" s="571"/>
      <c r="E56" s="571"/>
      <c r="F56" s="571"/>
      <c r="G56" s="571"/>
      <c r="H56" s="571"/>
    </row>
    <row r="57" s="569" customFormat="true" ht="21" hidden="false" customHeight="true" outlineLevel="0" collapsed="false">
      <c r="B57" s="570"/>
      <c r="C57" s="571"/>
      <c r="D57" s="571"/>
      <c r="E57" s="571"/>
      <c r="F57" s="571"/>
      <c r="G57" s="571"/>
      <c r="H57" s="571"/>
    </row>
    <row r="58" s="569" customFormat="true" ht="21" hidden="false" customHeight="true" outlineLevel="0" collapsed="false">
      <c r="B58" s="570"/>
      <c r="C58" s="571"/>
      <c r="D58" s="571"/>
      <c r="E58" s="571"/>
      <c r="F58" s="571"/>
      <c r="G58" s="571"/>
      <c r="H58" s="571"/>
    </row>
    <row r="59" s="569" customFormat="true" ht="21" hidden="false" customHeight="true" outlineLevel="0" collapsed="false">
      <c r="B59" s="570"/>
      <c r="C59" s="571"/>
      <c r="D59" s="571"/>
      <c r="E59" s="571"/>
      <c r="F59" s="571"/>
      <c r="G59" s="571"/>
      <c r="H59" s="571"/>
    </row>
    <row r="60" s="569" customFormat="true" ht="21" hidden="false" customHeight="true" outlineLevel="0" collapsed="false">
      <c r="B60" s="570"/>
      <c r="C60" s="571"/>
      <c r="D60" s="571"/>
      <c r="E60" s="571"/>
      <c r="F60" s="571"/>
      <c r="G60" s="571"/>
      <c r="H60" s="571"/>
    </row>
    <row r="61" s="569" customFormat="true" ht="21" hidden="false" customHeight="true" outlineLevel="0" collapsed="false">
      <c r="B61" s="570"/>
      <c r="C61" s="571"/>
      <c r="D61" s="571"/>
      <c r="E61" s="571"/>
      <c r="F61" s="571"/>
      <c r="G61" s="571"/>
      <c r="H61" s="571"/>
    </row>
    <row r="62" s="569" customFormat="true" ht="21" hidden="false" customHeight="true" outlineLevel="0" collapsed="false">
      <c r="B62" s="570"/>
      <c r="C62" s="571"/>
      <c r="D62" s="571"/>
      <c r="E62" s="571"/>
      <c r="F62" s="571"/>
      <c r="G62" s="571"/>
      <c r="H62" s="571"/>
    </row>
    <row r="63" s="569" customFormat="true" ht="21" hidden="false" customHeight="true" outlineLevel="0" collapsed="false">
      <c r="B63" s="570"/>
      <c r="C63" s="571"/>
      <c r="D63" s="571"/>
      <c r="E63" s="571"/>
      <c r="F63" s="571"/>
      <c r="G63" s="571"/>
      <c r="H63" s="571"/>
    </row>
    <row r="64" s="569" customFormat="true" ht="21" hidden="false" customHeight="true" outlineLevel="0" collapsed="false">
      <c r="B64" s="570"/>
      <c r="C64" s="571"/>
      <c r="D64" s="571"/>
      <c r="E64" s="571"/>
      <c r="F64" s="571"/>
      <c r="G64" s="571"/>
      <c r="H64" s="571"/>
    </row>
    <row r="65" s="569" customFormat="true" ht="21" hidden="false" customHeight="true" outlineLevel="0" collapsed="false">
      <c r="B65" s="570"/>
      <c r="C65" s="571"/>
      <c r="D65" s="571"/>
      <c r="E65" s="571"/>
      <c r="F65" s="571"/>
      <c r="G65" s="571"/>
      <c r="H65" s="571"/>
    </row>
    <row r="66" s="569" customFormat="true" ht="21" hidden="false" customHeight="true" outlineLevel="0" collapsed="false">
      <c r="B66" s="570"/>
      <c r="C66" s="571"/>
      <c r="D66" s="571"/>
      <c r="E66" s="571"/>
      <c r="F66" s="571"/>
      <c r="G66" s="571"/>
      <c r="H66" s="571"/>
    </row>
    <row r="67" s="569" customFormat="true" ht="21" hidden="false" customHeight="true" outlineLevel="0" collapsed="false">
      <c r="B67" s="570"/>
      <c r="C67" s="571"/>
      <c r="D67" s="571"/>
      <c r="E67" s="571"/>
      <c r="F67" s="571"/>
      <c r="G67" s="571"/>
      <c r="H67" s="571"/>
    </row>
    <row r="68" s="569" customFormat="true" ht="21" hidden="false" customHeight="true" outlineLevel="0" collapsed="false">
      <c r="B68" s="570"/>
      <c r="C68" s="571"/>
      <c r="D68" s="571"/>
      <c r="E68" s="571"/>
      <c r="F68" s="571"/>
      <c r="G68" s="571"/>
      <c r="H68" s="571"/>
    </row>
    <row r="69" s="569" customFormat="true" ht="21" hidden="false" customHeight="true" outlineLevel="0" collapsed="false">
      <c r="B69" s="570"/>
      <c r="C69" s="571"/>
      <c r="D69" s="571"/>
      <c r="E69" s="571"/>
      <c r="F69" s="571"/>
      <c r="G69" s="571"/>
      <c r="H69" s="571"/>
    </row>
    <row r="70" s="569" customFormat="true" ht="21" hidden="false" customHeight="true" outlineLevel="0" collapsed="false">
      <c r="B70" s="570"/>
      <c r="C70" s="571"/>
      <c r="D70" s="571"/>
      <c r="E70" s="571"/>
      <c r="F70" s="571"/>
      <c r="G70" s="571"/>
      <c r="H70" s="571"/>
    </row>
    <row r="71" s="569" customFormat="true" ht="21" hidden="false" customHeight="true" outlineLevel="0" collapsed="false">
      <c r="B71" s="570"/>
      <c r="C71" s="571"/>
      <c r="D71" s="571"/>
      <c r="E71" s="571"/>
      <c r="F71" s="571"/>
      <c r="G71" s="571"/>
      <c r="H71" s="571"/>
    </row>
    <row r="72" s="569" customFormat="true" ht="21" hidden="false" customHeight="true" outlineLevel="0" collapsed="false">
      <c r="B72" s="570"/>
      <c r="C72" s="571"/>
      <c r="D72" s="571"/>
      <c r="E72" s="571"/>
      <c r="F72" s="571"/>
      <c r="G72" s="571"/>
      <c r="H72" s="571"/>
    </row>
    <row r="73" s="569" customFormat="true" ht="21" hidden="false" customHeight="true" outlineLevel="0" collapsed="false">
      <c r="B73" s="570"/>
      <c r="C73" s="571"/>
      <c r="D73" s="571"/>
      <c r="E73" s="571"/>
      <c r="F73" s="571"/>
      <c r="G73" s="571"/>
      <c r="H73" s="571"/>
    </row>
    <row r="74" s="569" customFormat="true" ht="21" hidden="false" customHeight="true" outlineLevel="0" collapsed="false">
      <c r="B74" s="570"/>
      <c r="C74" s="571"/>
      <c r="D74" s="571"/>
      <c r="E74" s="571"/>
      <c r="F74" s="571"/>
      <c r="G74" s="571"/>
      <c r="H74" s="571"/>
    </row>
    <row r="75" s="569" customFormat="true" ht="21" hidden="false" customHeight="true" outlineLevel="0" collapsed="false">
      <c r="B75" s="570"/>
      <c r="C75" s="571"/>
      <c r="D75" s="571"/>
      <c r="E75" s="571"/>
      <c r="F75" s="571"/>
      <c r="G75" s="571"/>
      <c r="H75" s="571"/>
    </row>
    <row r="76" s="569" customFormat="true" ht="21" hidden="false" customHeight="true" outlineLevel="0" collapsed="false">
      <c r="B76" s="570"/>
      <c r="C76" s="571"/>
      <c r="D76" s="571"/>
      <c r="E76" s="571"/>
      <c r="F76" s="571"/>
      <c r="G76" s="571"/>
      <c r="H76" s="571"/>
    </row>
    <row r="77" s="569" customFormat="true" ht="21" hidden="false" customHeight="true" outlineLevel="0" collapsed="false">
      <c r="B77" s="570"/>
      <c r="C77" s="571"/>
      <c r="D77" s="571"/>
      <c r="E77" s="571"/>
      <c r="F77" s="571"/>
      <c r="G77" s="571"/>
      <c r="H77" s="571"/>
    </row>
    <row r="78" s="569" customFormat="true" ht="21" hidden="false" customHeight="true" outlineLevel="0" collapsed="false">
      <c r="B78" s="570"/>
      <c r="C78" s="571"/>
      <c r="D78" s="571"/>
      <c r="E78" s="571"/>
      <c r="F78" s="571"/>
      <c r="G78" s="571"/>
      <c r="H78" s="571"/>
    </row>
    <row r="79" s="569" customFormat="true" ht="21" hidden="false" customHeight="true" outlineLevel="0" collapsed="false">
      <c r="B79" s="570"/>
      <c r="C79" s="571"/>
      <c r="D79" s="571"/>
      <c r="E79" s="571"/>
      <c r="F79" s="571"/>
      <c r="G79" s="571"/>
      <c r="H79" s="571"/>
    </row>
    <row r="80" customFormat="false" ht="21" hidden="false" customHeight="true" outlineLevel="0" collapsed="false">
      <c r="B80" s="572"/>
      <c r="C80" s="573"/>
      <c r="D80" s="573"/>
      <c r="E80" s="571"/>
      <c r="F80" s="571"/>
      <c r="G80" s="573"/>
      <c r="H80" s="573"/>
    </row>
    <row r="81" customFormat="false" ht="21" hidden="false" customHeight="true" outlineLevel="0" collapsed="false">
      <c r="B81" s="572"/>
      <c r="C81" s="573"/>
      <c r="D81" s="573"/>
      <c r="E81" s="571"/>
      <c r="F81" s="571"/>
      <c r="G81" s="573"/>
      <c r="H81" s="573"/>
    </row>
    <row r="82" customFormat="false" ht="21" hidden="false" customHeight="true" outlineLevel="0" collapsed="false">
      <c r="B82" s="572"/>
      <c r="C82" s="573"/>
      <c r="D82" s="573"/>
      <c r="E82" s="571"/>
      <c r="F82" s="571"/>
      <c r="G82" s="573"/>
      <c r="H82" s="573"/>
    </row>
    <row r="83" customFormat="false" ht="21" hidden="false" customHeight="true" outlineLevel="0" collapsed="false">
      <c r="B83" s="572"/>
      <c r="C83" s="573"/>
      <c r="D83" s="573"/>
      <c r="E83" s="571"/>
      <c r="F83" s="571"/>
      <c r="G83" s="573"/>
      <c r="H83" s="573"/>
    </row>
    <row r="84" customFormat="false" ht="21" hidden="false" customHeight="true" outlineLevel="0" collapsed="false">
      <c r="B84" s="572"/>
      <c r="C84" s="573"/>
      <c r="D84" s="573"/>
      <c r="E84" s="571"/>
      <c r="F84" s="571"/>
      <c r="G84" s="573"/>
      <c r="H84" s="573"/>
    </row>
    <row r="85" customFormat="false" ht="21" hidden="false" customHeight="true" outlineLevel="0" collapsed="false">
      <c r="B85" s="572"/>
      <c r="C85" s="573"/>
      <c r="D85" s="573"/>
      <c r="E85" s="571"/>
      <c r="F85" s="571"/>
      <c r="G85" s="573"/>
      <c r="H85" s="573"/>
    </row>
    <row r="86" customFormat="false" ht="21" hidden="false" customHeight="true" outlineLevel="0" collapsed="false">
      <c r="B86" s="572"/>
      <c r="C86" s="573"/>
      <c r="D86" s="573"/>
      <c r="E86" s="571"/>
      <c r="F86" s="571"/>
      <c r="G86" s="573"/>
      <c r="H86" s="573"/>
    </row>
    <row r="87" customFormat="false" ht="21" hidden="false" customHeight="true" outlineLevel="0" collapsed="false">
      <c r="B87" s="572"/>
      <c r="C87" s="573"/>
      <c r="D87" s="573"/>
      <c r="E87" s="571"/>
      <c r="F87" s="571"/>
      <c r="G87" s="573"/>
      <c r="H87" s="573"/>
    </row>
    <row r="88" customFormat="false" ht="21" hidden="false" customHeight="true" outlineLevel="0" collapsed="false">
      <c r="B88" s="572"/>
      <c r="C88" s="573"/>
      <c r="D88" s="573"/>
      <c r="E88" s="571"/>
      <c r="F88" s="571"/>
      <c r="G88" s="573"/>
      <c r="H88" s="573"/>
    </row>
    <row r="89" customFormat="false" ht="21" hidden="false" customHeight="true" outlineLevel="0" collapsed="false">
      <c r="B89" s="572"/>
      <c r="C89" s="573"/>
      <c r="D89" s="573"/>
      <c r="E89" s="571"/>
      <c r="F89" s="571"/>
      <c r="G89" s="573"/>
      <c r="H89" s="573"/>
    </row>
    <row r="90" customFormat="false" ht="21" hidden="false" customHeight="true" outlineLevel="0" collapsed="false">
      <c r="B90" s="572"/>
      <c r="C90" s="573"/>
      <c r="D90" s="573"/>
      <c r="E90" s="571"/>
      <c r="F90" s="571"/>
      <c r="G90" s="573"/>
      <c r="H90" s="573"/>
    </row>
    <row r="91" customFormat="false" ht="21" hidden="false" customHeight="true" outlineLevel="0" collapsed="false">
      <c r="B91" s="572"/>
      <c r="C91" s="573"/>
      <c r="D91" s="573"/>
      <c r="E91" s="571"/>
      <c r="F91" s="571"/>
      <c r="G91" s="573"/>
      <c r="H91" s="573"/>
    </row>
    <row r="92" customFormat="false" ht="21" hidden="false" customHeight="true" outlineLevel="0" collapsed="false">
      <c r="B92" s="572"/>
      <c r="C92" s="573"/>
      <c r="D92" s="573"/>
      <c r="E92" s="571"/>
      <c r="F92" s="571"/>
      <c r="G92" s="573"/>
      <c r="H92" s="573"/>
    </row>
    <row r="93" customFormat="false" ht="21" hidden="false" customHeight="true" outlineLevel="0" collapsed="false">
      <c r="B93" s="572"/>
      <c r="C93" s="573"/>
      <c r="D93" s="573"/>
      <c r="E93" s="571"/>
      <c r="F93" s="571"/>
      <c r="G93" s="573"/>
      <c r="H93" s="573"/>
    </row>
    <row r="94" customFormat="false" ht="21" hidden="false" customHeight="true" outlineLevel="0" collapsed="false">
      <c r="B94" s="572"/>
      <c r="C94" s="573"/>
      <c r="D94" s="573"/>
      <c r="E94" s="571"/>
      <c r="F94" s="571"/>
      <c r="G94" s="573"/>
      <c r="H94" s="573"/>
    </row>
    <row r="95" customFormat="false" ht="21" hidden="false" customHeight="true" outlineLevel="0" collapsed="false">
      <c r="B95" s="572"/>
      <c r="C95" s="573"/>
      <c r="D95" s="573"/>
      <c r="E95" s="571"/>
      <c r="F95" s="571"/>
      <c r="G95" s="573"/>
      <c r="H95" s="573"/>
    </row>
    <row r="96" customFormat="false" ht="21" hidden="false" customHeight="true" outlineLevel="0" collapsed="false">
      <c r="B96" s="572"/>
      <c r="C96" s="573"/>
      <c r="D96" s="573"/>
      <c r="E96" s="571"/>
      <c r="F96" s="571"/>
      <c r="G96" s="573"/>
      <c r="H96" s="573"/>
    </row>
    <row r="97" customFormat="false" ht="21" hidden="false" customHeight="true" outlineLevel="0" collapsed="false">
      <c r="B97" s="572"/>
      <c r="C97" s="573"/>
      <c r="D97" s="573"/>
      <c r="E97" s="571"/>
      <c r="F97" s="571"/>
      <c r="G97" s="573"/>
      <c r="H97" s="573"/>
    </row>
    <row r="98" customFormat="false" ht="21" hidden="false" customHeight="true" outlineLevel="0" collapsed="false">
      <c r="B98" s="572"/>
      <c r="C98" s="573"/>
      <c r="D98" s="573"/>
      <c r="E98" s="571"/>
      <c r="F98" s="571"/>
      <c r="G98" s="573"/>
      <c r="H98" s="573"/>
    </row>
    <row r="99" customFormat="false" ht="21" hidden="false" customHeight="true" outlineLevel="0" collapsed="false">
      <c r="B99" s="572"/>
      <c r="C99" s="573"/>
      <c r="D99" s="573"/>
      <c r="E99" s="571"/>
      <c r="F99" s="571"/>
      <c r="G99" s="573"/>
      <c r="H99" s="573"/>
    </row>
    <row r="100" customFormat="false" ht="21" hidden="false" customHeight="true" outlineLevel="0" collapsed="false">
      <c r="B100" s="572"/>
      <c r="C100" s="573"/>
      <c r="D100" s="573"/>
      <c r="E100" s="571"/>
      <c r="F100" s="571"/>
      <c r="G100" s="573"/>
      <c r="H100" s="573"/>
    </row>
    <row r="101" customFormat="false" ht="21" hidden="false" customHeight="true" outlineLevel="0" collapsed="false">
      <c r="B101" s="572"/>
      <c r="C101" s="573"/>
      <c r="D101" s="573"/>
      <c r="E101" s="571"/>
      <c r="F101" s="571"/>
      <c r="G101" s="573"/>
      <c r="H101" s="573"/>
    </row>
    <row r="102" customFormat="false" ht="21" hidden="false" customHeight="true" outlineLevel="0" collapsed="false">
      <c r="B102" s="572"/>
      <c r="C102" s="573"/>
      <c r="D102" s="573"/>
      <c r="E102" s="571"/>
      <c r="F102" s="571"/>
      <c r="G102" s="573"/>
      <c r="H102" s="573"/>
    </row>
    <row r="103" customFormat="false" ht="21" hidden="false" customHeight="true" outlineLevel="0" collapsed="false">
      <c r="B103" s="572"/>
      <c r="C103" s="573"/>
      <c r="D103" s="573"/>
      <c r="E103" s="571"/>
      <c r="F103" s="571"/>
      <c r="G103" s="573"/>
      <c r="H103" s="573"/>
    </row>
    <row r="104" customFormat="false" ht="21" hidden="false" customHeight="true" outlineLevel="0" collapsed="false">
      <c r="B104" s="572"/>
      <c r="C104" s="573"/>
      <c r="D104" s="573"/>
      <c r="E104" s="571"/>
      <c r="F104" s="571"/>
      <c r="G104" s="573"/>
      <c r="H104" s="573"/>
    </row>
    <row r="105" customFormat="false" ht="21" hidden="false" customHeight="true" outlineLevel="0" collapsed="false">
      <c r="B105" s="572"/>
      <c r="C105" s="573"/>
      <c r="D105" s="573"/>
      <c r="E105" s="571"/>
      <c r="F105" s="571"/>
      <c r="G105" s="573"/>
      <c r="H105" s="573"/>
    </row>
    <row r="106" customFormat="false" ht="21" hidden="false" customHeight="true" outlineLevel="0" collapsed="false">
      <c r="B106" s="572"/>
      <c r="C106" s="573"/>
      <c r="D106" s="573"/>
      <c r="E106" s="571"/>
      <c r="F106" s="571"/>
      <c r="G106" s="573"/>
      <c r="H106" s="573"/>
    </row>
    <row r="107" customFormat="false" ht="21" hidden="false" customHeight="true" outlineLevel="0" collapsed="false">
      <c r="B107" s="572"/>
      <c r="C107" s="573"/>
      <c r="D107" s="573"/>
      <c r="E107" s="571"/>
      <c r="F107" s="571"/>
      <c r="G107" s="573"/>
      <c r="H107" s="573"/>
    </row>
    <row r="108" customFormat="false" ht="21" hidden="false" customHeight="true" outlineLevel="0" collapsed="false">
      <c r="B108" s="572"/>
      <c r="C108" s="573"/>
      <c r="D108" s="573"/>
      <c r="E108" s="571"/>
      <c r="F108" s="571"/>
      <c r="G108" s="573"/>
      <c r="H108" s="573"/>
    </row>
    <row r="109" customFormat="false" ht="21" hidden="false" customHeight="true" outlineLevel="0" collapsed="false">
      <c r="B109" s="572"/>
      <c r="C109" s="573"/>
      <c r="D109" s="573"/>
      <c r="E109" s="571"/>
      <c r="F109" s="571"/>
      <c r="G109" s="573"/>
      <c r="H109" s="573"/>
    </row>
    <row r="110" customFormat="false" ht="21" hidden="false" customHeight="true" outlineLevel="0" collapsed="false">
      <c r="B110" s="572"/>
      <c r="C110" s="573"/>
      <c r="D110" s="573"/>
      <c r="E110" s="571"/>
      <c r="F110" s="571"/>
      <c r="G110" s="573"/>
      <c r="H110" s="573"/>
    </row>
    <row r="111" customFormat="false" ht="21" hidden="false" customHeight="true" outlineLevel="0" collapsed="false">
      <c r="B111" s="572"/>
      <c r="C111" s="573"/>
      <c r="D111" s="573"/>
      <c r="E111" s="571"/>
      <c r="F111" s="571"/>
      <c r="G111" s="573"/>
      <c r="H111" s="573"/>
    </row>
    <row r="112" customFormat="false" ht="21" hidden="false" customHeight="true" outlineLevel="0" collapsed="false">
      <c r="B112" s="572"/>
      <c r="C112" s="573"/>
      <c r="D112" s="573"/>
      <c r="E112" s="571"/>
      <c r="F112" s="571"/>
      <c r="G112" s="573"/>
      <c r="H112" s="573"/>
    </row>
    <row r="113" customFormat="false" ht="21" hidden="false" customHeight="true" outlineLevel="0" collapsed="false">
      <c r="B113" s="572"/>
      <c r="C113" s="573"/>
      <c r="D113" s="573"/>
      <c r="E113" s="571"/>
      <c r="F113" s="571"/>
      <c r="G113" s="573"/>
      <c r="H113" s="573"/>
    </row>
    <row r="114" customFormat="false" ht="21" hidden="false" customHeight="true" outlineLevel="0" collapsed="false">
      <c r="B114" s="572"/>
      <c r="C114" s="573"/>
      <c r="D114" s="573"/>
      <c r="E114" s="571"/>
      <c r="F114" s="571"/>
      <c r="G114" s="573"/>
      <c r="H114" s="573"/>
    </row>
    <row r="115" customFormat="false" ht="21" hidden="false" customHeight="true" outlineLevel="0" collapsed="false">
      <c r="B115" s="572"/>
      <c r="C115" s="573"/>
      <c r="D115" s="573"/>
      <c r="E115" s="571"/>
      <c r="F115" s="571"/>
      <c r="G115" s="573"/>
      <c r="H115" s="573"/>
    </row>
    <row r="116" customFormat="false" ht="21" hidden="false" customHeight="true" outlineLevel="0" collapsed="false">
      <c r="B116" s="572"/>
      <c r="C116" s="573"/>
      <c r="D116" s="573"/>
      <c r="E116" s="571"/>
      <c r="F116" s="571"/>
      <c r="G116" s="573"/>
      <c r="H116" s="573"/>
    </row>
    <row r="117" customFormat="false" ht="21" hidden="false" customHeight="true" outlineLevel="0" collapsed="false">
      <c r="B117" s="572"/>
      <c r="C117" s="573"/>
      <c r="D117" s="573"/>
      <c r="E117" s="571"/>
      <c r="F117" s="571"/>
      <c r="G117" s="573"/>
      <c r="H117" s="573"/>
    </row>
    <row r="118" customFormat="false" ht="21" hidden="false" customHeight="true" outlineLevel="0" collapsed="false">
      <c r="B118" s="572"/>
      <c r="C118" s="573"/>
      <c r="D118" s="573"/>
      <c r="E118" s="571"/>
      <c r="F118" s="571"/>
      <c r="G118" s="573"/>
      <c r="H118" s="573"/>
    </row>
    <row r="119" customFormat="false" ht="21" hidden="false" customHeight="true" outlineLevel="0" collapsed="false">
      <c r="B119" s="572"/>
      <c r="C119" s="573"/>
      <c r="D119" s="573"/>
      <c r="E119" s="571"/>
      <c r="F119" s="571"/>
      <c r="G119" s="573"/>
      <c r="H119" s="573"/>
    </row>
    <row r="120" customFormat="false" ht="21" hidden="false" customHeight="true" outlineLevel="0" collapsed="false">
      <c r="B120" s="572"/>
      <c r="C120" s="573"/>
      <c r="D120" s="573"/>
      <c r="E120" s="571"/>
      <c r="F120" s="571"/>
      <c r="G120" s="573"/>
      <c r="H120" s="573"/>
    </row>
    <row r="121" customFormat="false" ht="21" hidden="false" customHeight="true" outlineLevel="0" collapsed="false">
      <c r="B121" s="572"/>
      <c r="C121" s="573"/>
      <c r="D121" s="573"/>
      <c r="E121" s="571"/>
      <c r="F121" s="571"/>
      <c r="G121" s="573"/>
      <c r="H121" s="573"/>
    </row>
    <row r="122" customFormat="false" ht="21" hidden="false" customHeight="true" outlineLevel="0" collapsed="false">
      <c r="B122" s="572"/>
      <c r="C122" s="573"/>
      <c r="D122" s="573"/>
      <c r="E122" s="571"/>
      <c r="F122" s="571"/>
      <c r="G122" s="573"/>
      <c r="H122" s="573"/>
    </row>
    <row r="123" customFormat="false" ht="21" hidden="false" customHeight="true" outlineLevel="0" collapsed="false">
      <c r="B123" s="572"/>
      <c r="C123" s="573"/>
      <c r="D123" s="573"/>
      <c r="E123" s="571"/>
      <c r="F123" s="571"/>
      <c r="G123" s="573"/>
      <c r="H123" s="573"/>
    </row>
    <row r="124" customFormat="false" ht="21" hidden="false" customHeight="true" outlineLevel="0" collapsed="false">
      <c r="B124" s="572"/>
      <c r="C124" s="573"/>
      <c r="D124" s="573"/>
      <c r="E124" s="571"/>
      <c r="F124" s="571"/>
      <c r="G124" s="573"/>
      <c r="H124" s="573"/>
    </row>
    <row r="125" customFormat="false" ht="21" hidden="false" customHeight="true" outlineLevel="0" collapsed="false">
      <c r="B125" s="572"/>
      <c r="C125" s="573"/>
      <c r="D125" s="573"/>
      <c r="E125" s="571"/>
      <c r="F125" s="571"/>
      <c r="G125" s="573"/>
      <c r="H125" s="573"/>
    </row>
    <row r="126" customFormat="false" ht="21" hidden="false" customHeight="true" outlineLevel="0" collapsed="false">
      <c r="B126" s="572"/>
      <c r="C126" s="573"/>
      <c r="D126" s="573"/>
      <c r="E126" s="571"/>
      <c r="F126" s="571"/>
      <c r="G126" s="573"/>
      <c r="H126" s="573"/>
    </row>
    <row r="127" customFormat="false" ht="21" hidden="false" customHeight="true" outlineLevel="0" collapsed="false">
      <c r="B127" s="572"/>
      <c r="C127" s="573"/>
      <c r="D127" s="573"/>
      <c r="E127" s="571"/>
      <c r="F127" s="571"/>
      <c r="G127" s="573"/>
      <c r="H127" s="573"/>
    </row>
    <row r="128" customFormat="false" ht="21" hidden="false" customHeight="true" outlineLevel="0" collapsed="false">
      <c r="B128" s="572"/>
      <c r="C128" s="573"/>
      <c r="D128" s="573"/>
      <c r="E128" s="571"/>
      <c r="F128" s="571"/>
      <c r="G128" s="573"/>
      <c r="H128" s="573"/>
    </row>
    <row r="129" customFormat="false" ht="21" hidden="false" customHeight="true" outlineLevel="0" collapsed="false">
      <c r="B129" s="572"/>
      <c r="C129" s="573"/>
      <c r="D129" s="573"/>
      <c r="E129" s="571"/>
      <c r="F129" s="571"/>
      <c r="G129" s="573"/>
      <c r="H129" s="573"/>
    </row>
    <row r="130" customFormat="false" ht="21" hidden="false" customHeight="true" outlineLevel="0" collapsed="false">
      <c r="B130" s="572"/>
      <c r="C130" s="573"/>
      <c r="D130" s="573"/>
      <c r="E130" s="571"/>
      <c r="F130" s="571"/>
      <c r="G130" s="573"/>
      <c r="H130" s="573"/>
    </row>
    <row r="131" customFormat="false" ht="21" hidden="false" customHeight="true" outlineLevel="0" collapsed="false">
      <c r="B131" s="572"/>
      <c r="C131" s="573"/>
      <c r="D131" s="573"/>
      <c r="E131" s="571"/>
      <c r="F131" s="571"/>
      <c r="G131" s="573"/>
      <c r="H131" s="573"/>
    </row>
    <row r="132" customFormat="false" ht="21" hidden="false" customHeight="true" outlineLevel="0" collapsed="false">
      <c r="B132" s="572"/>
      <c r="C132" s="573"/>
      <c r="D132" s="573"/>
      <c r="E132" s="571"/>
      <c r="F132" s="571"/>
      <c r="G132" s="573"/>
      <c r="H132" s="573"/>
    </row>
    <row r="133" customFormat="false" ht="21" hidden="false" customHeight="true" outlineLevel="0" collapsed="false">
      <c r="B133" s="572"/>
      <c r="C133" s="573"/>
      <c r="D133" s="573"/>
      <c r="E133" s="571"/>
      <c r="F133" s="571"/>
      <c r="G133" s="573"/>
      <c r="H133" s="573"/>
    </row>
    <row r="134" customFormat="false" ht="21" hidden="false" customHeight="true" outlineLevel="0" collapsed="false">
      <c r="B134" s="572"/>
      <c r="C134" s="573"/>
      <c r="D134" s="573"/>
      <c r="E134" s="571"/>
      <c r="F134" s="571"/>
      <c r="G134" s="573"/>
      <c r="H134" s="573"/>
    </row>
    <row r="135" customFormat="false" ht="21" hidden="false" customHeight="true" outlineLevel="0" collapsed="false">
      <c r="B135" s="572"/>
      <c r="C135" s="573"/>
      <c r="D135" s="573"/>
      <c r="E135" s="571"/>
      <c r="F135" s="571"/>
      <c r="G135" s="573"/>
      <c r="H135" s="573"/>
    </row>
    <row r="136" customFormat="false" ht="21" hidden="false" customHeight="true" outlineLevel="0" collapsed="false">
      <c r="B136" s="572"/>
      <c r="C136" s="573"/>
      <c r="D136" s="573"/>
      <c r="E136" s="571"/>
      <c r="F136" s="571"/>
      <c r="G136" s="573"/>
      <c r="H136" s="573"/>
    </row>
    <row r="137" customFormat="false" ht="21" hidden="false" customHeight="true" outlineLevel="0" collapsed="false">
      <c r="B137" s="572"/>
      <c r="C137" s="573"/>
      <c r="D137" s="573"/>
      <c r="E137" s="571"/>
      <c r="F137" s="571"/>
      <c r="G137" s="573"/>
      <c r="H137" s="573"/>
    </row>
    <row r="138" customFormat="false" ht="21" hidden="false" customHeight="true" outlineLevel="0" collapsed="false">
      <c r="B138" s="572"/>
      <c r="C138" s="573"/>
      <c r="D138" s="573"/>
      <c r="E138" s="571"/>
      <c r="F138" s="571"/>
      <c r="G138" s="573"/>
      <c r="H138" s="573"/>
    </row>
    <row r="139" customFormat="false" ht="21" hidden="false" customHeight="true" outlineLevel="0" collapsed="false">
      <c r="B139" s="572"/>
      <c r="C139" s="573"/>
      <c r="D139" s="573"/>
      <c r="E139" s="571"/>
      <c r="F139" s="571"/>
      <c r="G139" s="573"/>
      <c r="H139" s="573"/>
    </row>
    <row r="140" customFormat="false" ht="21" hidden="false" customHeight="true" outlineLevel="0" collapsed="false">
      <c r="B140" s="572"/>
      <c r="C140" s="573"/>
      <c r="D140" s="573"/>
      <c r="E140" s="571"/>
      <c r="F140" s="571"/>
      <c r="G140" s="573"/>
      <c r="H140" s="573"/>
    </row>
    <row r="141" customFormat="false" ht="21" hidden="false" customHeight="true" outlineLevel="0" collapsed="false">
      <c r="B141" s="572"/>
      <c r="C141" s="573"/>
      <c r="D141" s="573"/>
      <c r="E141" s="571"/>
      <c r="F141" s="571"/>
      <c r="G141" s="573"/>
      <c r="H141" s="573"/>
    </row>
    <row r="142" customFormat="false" ht="21" hidden="false" customHeight="true" outlineLevel="0" collapsed="false">
      <c r="B142" s="572"/>
      <c r="C142" s="573"/>
      <c r="D142" s="573"/>
      <c r="E142" s="571"/>
      <c r="F142" s="571"/>
      <c r="G142" s="573"/>
      <c r="H142" s="573"/>
    </row>
    <row r="143" customFormat="false" ht="21" hidden="false" customHeight="true" outlineLevel="0" collapsed="false">
      <c r="B143" s="572"/>
      <c r="C143" s="573"/>
      <c r="D143" s="573"/>
      <c r="E143" s="571"/>
      <c r="F143" s="571"/>
      <c r="G143" s="573"/>
      <c r="H143" s="573"/>
    </row>
    <row r="144" customFormat="false" ht="21" hidden="false" customHeight="true" outlineLevel="0" collapsed="false">
      <c r="B144" s="572"/>
      <c r="C144" s="573"/>
      <c r="D144" s="573"/>
      <c r="E144" s="571"/>
      <c r="F144" s="571"/>
      <c r="G144" s="573"/>
      <c r="H144" s="573"/>
    </row>
    <row r="145" customFormat="false" ht="21" hidden="false" customHeight="true" outlineLevel="0" collapsed="false">
      <c r="B145" s="572"/>
      <c r="C145" s="573"/>
      <c r="D145" s="573"/>
      <c r="E145" s="571"/>
      <c r="F145" s="571"/>
      <c r="G145" s="573"/>
      <c r="H145" s="573"/>
    </row>
    <row r="146" customFormat="false" ht="21" hidden="false" customHeight="true" outlineLevel="0" collapsed="false">
      <c r="B146" s="572"/>
      <c r="C146" s="573"/>
      <c r="D146" s="573"/>
      <c r="E146" s="571"/>
      <c r="F146" s="571"/>
      <c r="G146" s="573"/>
      <c r="H146" s="573"/>
    </row>
    <row r="147" customFormat="false" ht="21" hidden="false" customHeight="true" outlineLevel="0" collapsed="false">
      <c r="B147" s="572"/>
      <c r="C147" s="573"/>
      <c r="D147" s="573"/>
      <c r="E147" s="571"/>
      <c r="F147" s="571"/>
      <c r="G147" s="573"/>
      <c r="H147" s="573"/>
    </row>
    <row r="148" customFormat="false" ht="21" hidden="false" customHeight="true" outlineLevel="0" collapsed="false">
      <c r="B148" s="572"/>
      <c r="C148" s="573"/>
      <c r="D148" s="573"/>
      <c r="E148" s="571"/>
      <c r="F148" s="571"/>
      <c r="G148" s="573"/>
      <c r="H148" s="573"/>
    </row>
    <row r="149" customFormat="false" ht="21" hidden="false" customHeight="true" outlineLevel="0" collapsed="false">
      <c r="B149" s="572"/>
      <c r="C149" s="573"/>
      <c r="D149" s="573"/>
      <c r="E149" s="571"/>
      <c r="F149" s="571"/>
      <c r="G149" s="573"/>
      <c r="H149" s="573"/>
    </row>
    <row r="150" customFormat="false" ht="21" hidden="false" customHeight="true" outlineLevel="0" collapsed="false">
      <c r="B150" s="572"/>
      <c r="C150" s="573"/>
      <c r="D150" s="573"/>
      <c r="E150" s="571"/>
      <c r="F150" s="571"/>
      <c r="G150" s="573"/>
      <c r="H150" s="573"/>
    </row>
    <row r="151" customFormat="false" ht="21" hidden="false" customHeight="true" outlineLevel="0" collapsed="false">
      <c r="B151" s="572"/>
      <c r="C151" s="573"/>
      <c r="D151" s="573"/>
      <c r="E151" s="571"/>
      <c r="F151" s="571"/>
      <c r="G151" s="573"/>
      <c r="H151" s="573"/>
    </row>
    <row r="152" customFormat="false" ht="21" hidden="false" customHeight="true" outlineLevel="0" collapsed="false">
      <c r="B152" s="572"/>
      <c r="C152" s="573"/>
      <c r="D152" s="573"/>
      <c r="E152" s="571"/>
      <c r="F152" s="571"/>
      <c r="G152" s="573"/>
      <c r="H152" s="573"/>
    </row>
    <row r="153" customFormat="false" ht="21" hidden="false" customHeight="true" outlineLevel="0" collapsed="false">
      <c r="B153" s="572"/>
      <c r="C153" s="573"/>
      <c r="D153" s="573"/>
      <c r="E153" s="571"/>
      <c r="F153" s="571"/>
      <c r="G153" s="573"/>
      <c r="H153" s="573"/>
    </row>
    <row r="154" customFormat="false" ht="21" hidden="false" customHeight="true" outlineLevel="0" collapsed="false">
      <c r="B154" s="572"/>
      <c r="C154" s="573"/>
      <c r="D154" s="573"/>
      <c r="E154" s="571"/>
      <c r="F154" s="571"/>
      <c r="G154" s="573"/>
      <c r="H154" s="573"/>
    </row>
    <row r="155" customFormat="false" ht="21" hidden="false" customHeight="true" outlineLevel="0" collapsed="false">
      <c r="B155" s="572"/>
      <c r="C155" s="573"/>
      <c r="D155" s="573"/>
      <c r="E155" s="571"/>
      <c r="F155" s="571"/>
      <c r="G155" s="573"/>
      <c r="H155" s="573"/>
    </row>
    <row r="156" customFormat="false" ht="21" hidden="false" customHeight="true" outlineLevel="0" collapsed="false">
      <c r="B156" s="572"/>
      <c r="C156" s="573"/>
      <c r="D156" s="573"/>
      <c r="E156" s="571"/>
      <c r="F156" s="571"/>
      <c r="G156" s="573"/>
      <c r="H156" s="573"/>
    </row>
    <row r="157" customFormat="false" ht="21" hidden="false" customHeight="true" outlineLevel="0" collapsed="false">
      <c r="B157" s="572"/>
      <c r="C157" s="573"/>
      <c r="D157" s="573"/>
      <c r="E157" s="571"/>
      <c r="F157" s="571"/>
      <c r="G157" s="573"/>
      <c r="H157" s="573"/>
    </row>
    <row r="158" customFormat="false" ht="21" hidden="false" customHeight="true" outlineLevel="0" collapsed="false">
      <c r="B158" s="572"/>
      <c r="C158" s="573"/>
      <c r="D158" s="573"/>
      <c r="E158" s="571"/>
      <c r="F158" s="571"/>
      <c r="G158" s="573"/>
      <c r="H158" s="573"/>
    </row>
    <row r="159" customFormat="false" ht="21" hidden="false" customHeight="true" outlineLevel="0" collapsed="false">
      <c r="B159" s="572"/>
      <c r="C159" s="573"/>
      <c r="D159" s="573"/>
      <c r="E159" s="571"/>
      <c r="F159" s="571"/>
      <c r="G159" s="573"/>
      <c r="H159" s="573"/>
    </row>
    <row r="160" customFormat="false" ht="21" hidden="false" customHeight="true" outlineLevel="0" collapsed="false">
      <c r="B160" s="572"/>
      <c r="C160" s="573"/>
      <c r="D160" s="573"/>
      <c r="E160" s="571"/>
      <c r="F160" s="571"/>
      <c r="G160" s="573"/>
      <c r="H160" s="573"/>
    </row>
    <row r="161" customFormat="false" ht="21" hidden="false" customHeight="true" outlineLevel="0" collapsed="false">
      <c r="B161" s="572"/>
      <c r="C161" s="573"/>
      <c r="D161" s="573"/>
      <c r="E161" s="571"/>
      <c r="F161" s="571"/>
      <c r="G161" s="573"/>
      <c r="H161" s="573"/>
    </row>
    <row r="162" customFormat="false" ht="21" hidden="false" customHeight="true" outlineLevel="0" collapsed="false">
      <c r="B162" s="572"/>
      <c r="C162" s="573"/>
      <c r="D162" s="573"/>
      <c r="E162" s="571"/>
      <c r="F162" s="571"/>
      <c r="G162" s="573"/>
      <c r="H162" s="573"/>
    </row>
    <row r="163" customFormat="false" ht="21" hidden="false" customHeight="true" outlineLevel="0" collapsed="false">
      <c r="B163" s="572"/>
      <c r="C163" s="573"/>
      <c r="D163" s="573"/>
      <c r="E163" s="571"/>
      <c r="F163" s="571"/>
      <c r="G163" s="573"/>
      <c r="H163" s="573"/>
    </row>
    <row r="164" customFormat="false" ht="21" hidden="false" customHeight="true" outlineLevel="0" collapsed="false">
      <c r="B164" s="572"/>
      <c r="C164" s="573"/>
      <c r="D164" s="573"/>
      <c r="E164" s="571"/>
      <c r="F164" s="571"/>
      <c r="G164" s="573"/>
      <c r="H164" s="573"/>
    </row>
    <row r="165" customFormat="false" ht="21" hidden="false" customHeight="true" outlineLevel="0" collapsed="false">
      <c r="B165" s="572"/>
      <c r="C165" s="573"/>
      <c r="D165" s="573"/>
      <c r="E165" s="571"/>
      <c r="F165" s="571"/>
      <c r="G165" s="573"/>
      <c r="H165" s="573"/>
    </row>
    <row r="166" customFormat="false" ht="21" hidden="false" customHeight="true" outlineLevel="0" collapsed="false">
      <c r="B166" s="572"/>
      <c r="C166" s="573"/>
      <c r="D166" s="573"/>
      <c r="E166" s="571"/>
      <c r="F166" s="571"/>
      <c r="G166" s="573"/>
      <c r="H166" s="573"/>
    </row>
    <row r="167" customFormat="false" ht="21" hidden="false" customHeight="true" outlineLevel="0" collapsed="false">
      <c r="B167" s="572"/>
      <c r="C167" s="573"/>
      <c r="D167" s="573"/>
      <c r="E167" s="571"/>
      <c r="F167" s="571"/>
      <c r="G167" s="573"/>
      <c r="H167" s="573"/>
    </row>
    <row r="168" customFormat="false" ht="21" hidden="false" customHeight="true" outlineLevel="0" collapsed="false">
      <c r="B168" s="572"/>
      <c r="C168" s="573"/>
      <c r="D168" s="573"/>
      <c r="E168" s="571"/>
      <c r="F168" s="571"/>
      <c r="G168" s="573"/>
      <c r="H168" s="573"/>
    </row>
    <row r="169" customFormat="false" ht="21" hidden="false" customHeight="true" outlineLevel="0" collapsed="false">
      <c r="B169" s="572"/>
      <c r="C169" s="573"/>
      <c r="D169" s="573"/>
      <c r="E169" s="571"/>
      <c r="F169" s="571"/>
      <c r="G169" s="573"/>
      <c r="H169" s="573"/>
    </row>
    <row r="170" customFormat="false" ht="21" hidden="false" customHeight="true" outlineLevel="0" collapsed="false">
      <c r="B170" s="572"/>
      <c r="C170" s="573"/>
      <c r="D170" s="573"/>
      <c r="E170" s="571"/>
      <c r="F170" s="571"/>
      <c r="G170" s="573"/>
      <c r="H170" s="573"/>
    </row>
    <row r="171" customFormat="false" ht="21" hidden="false" customHeight="true" outlineLevel="0" collapsed="false">
      <c r="B171" s="572"/>
      <c r="C171" s="573"/>
      <c r="D171" s="573"/>
      <c r="E171" s="571"/>
      <c r="F171" s="571"/>
      <c r="G171" s="573"/>
      <c r="H171" s="573"/>
    </row>
    <row r="172" customFormat="false" ht="21" hidden="false" customHeight="true" outlineLevel="0" collapsed="false">
      <c r="B172" s="572"/>
      <c r="C172" s="573"/>
      <c r="D172" s="573"/>
      <c r="E172" s="571"/>
      <c r="F172" s="571"/>
      <c r="G172" s="573"/>
      <c r="H172" s="573"/>
    </row>
    <row r="173" customFormat="false" ht="21" hidden="false" customHeight="true" outlineLevel="0" collapsed="false">
      <c r="B173" s="572"/>
      <c r="C173" s="573"/>
      <c r="D173" s="573"/>
      <c r="E173" s="571"/>
      <c r="F173" s="571"/>
      <c r="G173" s="573"/>
      <c r="H173" s="573"/>
    </row>
    <row r="174" customFormat="false" ht="21" hidden="false" customHeight="true" outlineLevel="0" collapsed="false">
      <c r="B174" s="572"/>
      <c r="C174" s="573"/>
      <c r="D174" s="573"/>
      <c r="E174" s="571"/>
      <c r="F174" s="571"/>
      <c r="G174" s="573"/>
      <c r="H174" s="573"/>
    </row>
    <row r="175" customFormat="false" ht="21" hidden="false" customHeight="true" outlineLevel="0" collapsed="false">
      <c r="B175" s="572"/>
      <c r="C175" s="573"/>
      <c r="D175" s="573"/>
      <c r="E175" s="571"/>
      <c r="F175" s="571"/>
      <c r="G175" s="573"/>
      <c r="H175" s="573"/>
    </row>
    <row r="176" customFormat="false" ht="21" hidden="false" customHeight="true" outlineLevel="0" collapsed="false">
      <c r="B176" s="572"/>
      <c r="C176" s="573"/>
      <c r="D176" s="573"/>
      <c r="E176" s="571"/>
      <c r="F176" s="571"/>
      <c r="G176" s="573"/>
      <c r="H176" s="573"/>
    </row>
    <row r="177" customFormat="false" ht="21" hidden="false" customHeight="true" outlineLevel="0" collapsed="false">
      <c r="B177" s="572"/>
      <c r="C177" s="573"/>
      <c r="D177" s="573"/>
      <c r="E177" s="571"/>
      <c r="F177" s="571"/>
      <c r="G177" s="573"/>
      <c r="H177" s="573"/>
    </row>
    <row r="178" customFormat="false" ht="21" hidden="false" customHeight="true" outlineLevel="0" collapsed="false">
      <c r="B178" s="572"/>
      <c r="C178" s="573"/>
      <c r="D178" s="573"/>
      <c r="E178" s="571"/>
      <c r="F178" s="571"/>
      <c r="G178" s="573"/>
      <c r="H178" s="573"/>
    </row>
    <row r="179" customFormat="false" ht="21" hidden="false" customHeight="true" outlineLevel="0" collapsed="false">
      <c r="B179" s="572"/>
      <c r="C179" s="573"/>
      <c r="D179" s="573"/>
      <c r="E179" s="571"/>
      <c r="F179" s="571"/>
      <c r="G179" s="573"/>
      <c r="H179" s="573"/>
    </row>
    <row r="180" customFormat="false" ht="21" hidden="false" customHeight="true" outlineLevel="0" collapsed="false">
      <c r="B180" s="572"/>
      <c r="C180" s="573"/>
      <c r="D180" s="573"/>
      <c r="E180" s="571"/>
      <c r="F180" s="571"/>
      <c r="G180" s="573"/>
      <c r="H180" s="573"/>
    </row>
    <row r="181" customFormat="false" ht="21" hidden="false" customHeight="true" outlineLevel="0" collapsed="false">
      <c r="B181" s="572"/>
      <c r="C181" s="573"/>
      <c r="D181" s="573"/>
      <c r="E181" s="571"/>
      <c r="F181" s="571"/>
      <c r="G181" s="573"/>
      <c r="H181" s="573"/>
    </row>
    <row r="182" customFormat="false" ht="21" hidden="false" customHeight="true" outlineLevel="0" collapsed="false">
      <c r="B182" s="572"/>
      <c r="C182" s="573"/>
      <c r="D182" s="573"/>
      <c r="E182" s="571"/>
      <c r="F182" s="571"/>
      <c r="G182" s="573"/>
      <c r="H182" s="573"/>
    </row>
    <row r="183" customFormat="false" ht="21" hidden="false" customHeight="true" outlineLevel="0" collapsed="false">
      <c r="B183" s="572"/>
      <c r="C183" s="573"/>
      <c r="D183" s="573"/>
      <c r="E183" s="571"/>
      <c r="F183" s="571"/>
      <c r="G183" s="573"/>
      <c r="H183" s="573"/>
    </row>
    <row r="184" customFormat="false" ht="21" hidden="false" customHeight="true" outlineLevel="0" collapsed="false">
      <c r="B184" s="572"/>
      <c r="C184" s="573"/>
      <c r="D184" s="573"/>
      <c r="E184" s="571"/>
      <c r="F184" s="571"/>
      <c r="G184" s="573"/>
      <c r="H184" s="573"/>
    </row>
    <row r="185" customFormat="false" ht="21" hidden="false" customHeight="true" outlineLevel="0" collapsed="false">
      <c r="B185" s="572"/>
      <c r="C185" s="573"/>
      <c r="D185" s="573"/>
      <c r="E185" s="571"/>
      <c r="F185" s="571"/>
      <c r="G185" s="573"/>
      <c r="H185" s="573"/>
    </row>
    <row r="186" customFormat="false" ht="21" hidden="false" customHeight="true" outlineLevel="0" collapsed="false">
      <c r="B186" s="572"/>
      <c r="C186" s="573"/>
      <c r="D186" s="573"/>
      <c r="E186" s="571"/>
      <c r="F186" s="571"/>
      <c r="G186" s="573"/>
      <c r="H186" s="573"/>
    </row>
    <row r="187" customFormat="false" ht="21" hidden="false" customHeight="true" outlineLevel="0" collapsed="false">
      <c r="B187" s="572"/>
      <c r="C187" s="573"/>
      <c r="D187" s="573"/>
      <c r="E187" s="571"/>
      <c r="F187" s="571"/>
      <c r="G187" s="573"/>
      <c r="H187" s="573"/>
    </row>
    <row r="188" customFormat="false" ht="21" hidden="false" customHeight="true" outlineLevel="0" collapsed="false">
      <c r="B188" s="572"/>
      <c r="C188" s="573"/>
      <c r="D188" s="573"/>
      <c r="E188" s="571"/>
      <c r="F188" s="571"/>
      <c r="G188" s="573"/>
      <c r="H188" s="573"/>
    </row>
    <row r="189" customFormat="false" ht="21" hidden="false" customHeight="true" outlineLevel="0" collapsed="false">
      <c r="B189" s="572"/>
      <c r="C189" s="573"/>
      <c r="D189" s="573"/>
      <c r="E189" s="571"/>
      <c r="F189" s="571"/>
      <c r="G189" s="573"/>
      <c r="H189" s="573"/>
    </row>
    <row r="190" customFormat="false" ht="21" hidden="false" customHeight="true" outlineLevel="0" collapsed="false">
      <c r="B190" s="572"/>
      <c r="C190" s="573"/>
      <c r="D190" s="573"/>
      <c r="E190" s="571"/>
      <c r="F190" s="571"/>
      <c r="G190" s="573"/>
      <c r="H190" s="573"/>
    </row>
    <row r="191" customFormat="false" ht="21" hidden="false" customHeight="true" outlineLevel="0" collapsed="false">
      <c r="B191" s="572"/>
      <c r="C191" s="573"/>
      <c r="D191" s="573"/>
      <c r="E191" s="571"/>
      <c r="F191" s="571"/>
      <c r="G191" s="573"/>
      <c r="H191" s="573"/>
    </row>
    <row r="192" customFormat="false" ht="21" hidden="false" customHeight="true" outlineLevel="0" collapsed="false">
      <c r="B192" s="572"/>
      <c r="C192" s="573"/>
      <c r="D192" s="573"/>
      <c r="E192" s="571"/>
      <c r="F192" s="571"/>
      <c r="G192" s="573"/>
      <c r="H192" s="573"/>
    </row>
    <row r="193" customFormat="false" ht="21" hidden="false" customHeight="true" outlineLevel="0" collapsed="false">
      <c r="B193" s="572"/>
      <c r="C193" s="573"/>
      <c r="D193" s="573"/>
      <c r="E193" s="571"/>
      <c r="F193" s="571"/>
      <c r="G193" s="573"/>
      <c r="H193" s="573"/>
    </row>
    <row r="194" customFormat="false" ht="21" hidden="false" customHeight="true" outlineLevel="0" collapsed="false">
      <c r="B194" s="572"/>
      <c r="C194" s="573"/>
      <c r="D194" s="573"/>
      <c r="E194" s="571"/>
      <c r="F194" s="571"/>
      <c r="G194" s="573"/>
      <c r="H194" s="573"/>
    </row>
    <row r="195" customFormat="false" ht="21" hidden="false" customHeight="true" outlineLevel="0" collapsed="false">
      <c r="B195" s="572"/>
      <c r="C195" s="573"/>
      <c r="D195" s="573"/>
      <c r="E195" s="571"/>
      <c r="F195" s="571"/>
      <c r="G195" s="573"/>
      <c r="H195" s="573"/>
    </row>
    <row r="196" customFormat="false" ht="21" hidden="false" customHeight="true" outlineLevel="0" collapsed="false">
      <c r="B196" s="572"/>
      <c r="C196" s="573"/>
      <c r="D196" s="573"/>
      <c r="E196" s="571"/>
      <c r="F196" s="571"/>
      <c r="G196" s="573"/>
      <c r="H196" s="573"/>
    </row>
    <row r="197" customFormat="false" ht="21" hidden="false" customHeight="true" outlineLevel="0" collapsed="false">
      <c r="B197" s="572"/>
      <c r="C197" s="573"/>
      <c r="D197" s="573"/>
      <c r="E197" s="571"/>
      <c r="F197" s="571"/>
      <c r="G197" s="573"/>
      <c r="H197" s="573"/>
    </row>
    <row r="198" customFormat="false" ht="21" hidden="false" customHeight="true" outlineLevel="0" collapsed="false">
      <c r="B198" s="572"/>
      <c r="C198" s="573"/>
      <c r="D198" s="573"/>
      <c r="E198" s="571"/>
      <c r="F198" s="571"/>
      <c r="G198" s="573"/>
      <c r="H198" s="573"/>
    </row>
    <row r="199" customFormat="false" ht="21" hidden="false" customHeight="true" outlineLevel="0" collapsed="false">
      <c r="B199" s="572"/>
      <c r="C199" s="573"/>
      <c r="D199" s="573"/>
      <c r="E199" s="571"/>
      <c r="F199" s="571"/>
      <c r="G199" s="573"/>
      <c r="H199" s="573"/>
    </row>
    <row r="200" customFormat="false" ht="21" hidden="false" customHeight="true" outlineLevel="0" collapsed="false">
      <c r="B200" s="572"/>
      <c r="C200" s="573"/>
      <c r="D200" s="573"/>
      <c r="E200" s="571"/>
      <c r="F200" s="571"/>
      <c r="G200" s="573"/>
      <c r="H200" s="573"/>
    </row>
    <row r="201" customFormat="false" ht="21" hidden="false" customHeight="true" outlineLevel="0" collapsed="false">
      <c r="B201" s="572"/>
      <c r="C201" s="573"/>
      <c r="D201" s="573"/>
      <c r="E201" s="571"/>
      <c r="F201" s="571"/>
      <c r="G201" s="573"/>
      <c r="H201" s="573"/>
    </row>
    <row r="202" customFormat="false" ht="21" hidden="false" customHeight="true" outlineLevel="0" collapsed="false">
      <c r="B202" s="572"/>
      <c r="C202" s="573"/>
      <c r="D202" s="573"/>
      <c r="E202" s="571"/>
      <c r="F202" s="571"/>
      <c r="G202" s="573"/>
      <c r="H202" s="573"/>
    </row>
    <row r="203" customFormat="false" ht="21" hidden="false" customHeight="true" outlineLevel="0" collapsed="false">
      <c r="B203" s="572"/>
      <c r="C203" s="573"/>
      <c r="D203" s="573"/>
      <c r="E203" s="571"/>
      <c r="F203" s="571"/>
      <c r="G203" s="573"/>
      <c r="H203" s="573"/>
    </row>
    <row r="204" customFormat="false" ht="21" hidden="false" customHeight="true" outlineLevel="0" collapsed="false">
      <c r="B204" s="572"/>
      <c r="C204" s="573"/>
      <c r="D204" s="573"/>
      <c r="E204" s="571"/>
      <c r="F204" s="571"/>
      <c r="G204" s="573"/>
      <c r="H204" s="573"/>
    </row>
    <row r="205" customFormat="false" ht="21" hidden="false" customHeight="true" outlineLevel="0" collapsed="false">
      <c r="B205" s="572"/>
      <c r="C205" s="573"/>
      <c r="D205" s="573"/>
      <c r="E205" s="571"/>
      <c r="F205" s="571"/>
      <c r="G205" s="573"/>
      <c r="H205" s="573"/>
    </row>
    <row r="206" customFormat="false" ht="21" hidden="false" customHeight="true" outlineLevel="0" collapsed="false">
      <c r="B206" s="572"/>
      <c r="C206" s="573"/>
      <c r="D206" s="573"/>
      <c r="E206" s="571"/>
      <c r="F206" s="571"/>
      <c r="G206" s="573"/>
      <c r="H206" s="573"/>
    </row>
    <row r="207" customFormat="false" ht="21" hidden="false" customHeight="true" outlineLevel="0" collapsed="false">
      <c r="B207" s="572"/>
      <c r="C207" s="573"/>
      <c r="D207" s="573"/>
      <c r="E207" s="571"/>
      <c r="F207" s="571"/>
      <c r="G207" s="573"/>
      <c r="H207" s="573"/>
    </row>
    <row r="208" customFormat="false" ht="21" hidden="false" customHeight="true" outlineLevel="0" collapsed="false">
      <c r="B208" s="572"/>
      <c r="C208" s="573"/>
      <c r="D208" s="573"/>
      <c r="E208" s="571"/>
      <c r="F208" s="571"/>
      <c r="G208" s="573"/>
      <c r="H208" s="573"/>
    </row>
    <row r="209" customFormat="false" ht="21" hidden="false" customHeight="true" outlineLevel="0" collapsed="false">
      <c r="B209" s="572"/>
      <c r="C209" s="573"/>
      <c r="D209" s="573"/>
      <c r="E209" s="571"/>
      <c r="F209" s="571"/>
      <c r="G209" s="573"/>
      <c r="H209" s="573"/>
    </row>
    <row r="210" customFormat="false" ht="21" hidden="false" customHeight="true" outlineLevel="0" collapsed="false">
      <c r="B210" s="572"/>
      <c r="C210" s="573"/>
      <c r="D210" s="573"/>
      <c r="E210" s="571"/>
      <c r="F210" s="571"/>
      <c r="G210" s="573"/>
      <c r="H210" s="573"/>
    </row>
    <row r="211" customFormat="false" ht="21" hidden="false" customHeight="true" outlineLevel="0" collapsed="false">
      <c r="B211" s="572"/>
      <c r="C211" s="573"/>
      <c r="D211" s="573"/>
      <c r="E211" s="571"/>
      <c r="F211" s="571"/>
      <c r="G211" s="573"/>
      <c r="H211" s="573"/>
    </row>
    <row r="212" customFormat="false" ht="21" hidden="false" customHeight="true" outlineLevel="0" collapsed="false">
      <c r="B212" s="572"/>
      <c r="C212" s="573"/>
      <c r="D212" s="573"/>
      <c r="E212" s="571"/>
      <c r="F212" s="571"/>
      <c r="G212" s="573"/>
      <c r="H212" s="573"/>
    </row>
    <row r="213" customFormat="false" ht="21" hidden="false" customHeight="true" outlineLevel="0" collapsed="false">
      <c r="B213" s="572"/>
      <c r="C213" s="573"/>
      <c r="D213" s="573"/>
      <c r="E213" s="571"/>
      <c r="F213" s="571"/>
      <c r="G213" s="573"/>
      <c r="H213" s="573"/>
    </row>
    <row r="214" customFormat="false" ht="21" hidden="false" customHeight="true" outlineLevel="0" collapsed="false">
      <c r="B214" s="572"/>
      <c r="C214" s="573"/>
      <c r="D214" s="573"/>
      <c r="E214" s="571"/>
      <c r="F214" s="571"/>
      <c r="G214" s="573"/>
      <c r="H214" s="573"/>
    </row>
    <row r="215" customFormat="false" ht="21" hidden="false" customHeight="true" outlineLevel="0" collapsed="false">
      <c r="B215" s="572"/>
      <c r="C215" s="573"/>
      <c r="D215" s="573"/>
      <c r="E215" s="571"/>
      <c r="F215" s="571"/>
      <c r="G215" s="573"/>
      <c r="H215" s="573"/>
    </row>
    <row r="216" customFormat="false" ht="21" hidden="false" customHeight="true" outlineLevel="0" collapsed="false">
      <c r="B216" s="572"/>
      <c r="C216" s="573"/>
      <c r="D216" s="573"/>
      <c r="E216" s="571"/>
      <c r="F216" s="571"/>
      <c r="G216" s="573"/>
      <c r="H216" s="573"/>
    </row>
    <row r="217" customFormat="false" ht="21" hidden="false" customHeight="true" outlineLevel="0" collapsed="false">
      <c r="B217" s="572"/>
      <c r="C217" s="573"/>
      <c r="D217" s="573"/>
      <c r="E217" s="571"/>
      <c r="F217" s="571"/>
      <c r="G217" s="573"/>
      <c r="H217" s="573"/>
    </row>
    <row r="218" customFormat="false" ht="21" hidden="false" customHeight="true" outlineLevel="0" collapsed="false">
      <c r="B218" s="572"/>
      <c r="C218" s="573"/>
      <c r="D218" s="573"/>
      <c r="E218" s="571"/>
      <c r="F218" s="571"/>
      <c r="G218" s="573"/>
      <c r="H218" s="573"/>
    </row>
    <row r="219" customFormat="false" ht="21" hidden="false" customHeight="true" outlineLevel="0" collapsed="false">
      <c r="B219" s="572"/>
      <c r="C219" s="573"/>
      <c r="D219" s="573"/>
      <c r="E219" s="571"/>
      <c r="F219" s="571"/>
      <c r="G219" s="573"/>
      <c r="H219" s="573"/>
    </row>
    <row r="220" customFormat="false" ht="21" hidden="false" customHeight="true" outlineLevel="0" collapsed="false">
      <c r="B220" s="572"/>
      <c r="C220" s="573"/>
      <c r="D220" s="573"/>
      <c r="E220" s="571"/>
      <c r="F220" s="571"/>
      <c r="G220" s="573"/>
      <c r="H220" s="573"/>
    </row>
    <row r="221" customFormat="false" ht="21" hidden="false" customHeight="true" outlineLevel="0" collapsed="false">
      <c r="B221" s="572"/>
      <c r="C221" s="573"/>
      <c r="D221" s="573"/>
      <c r="E221" s="571"/>
      <c r="F221" s="571"/>
      <c r="G221" s="573"/>
      <c r="H221" s="573"/>
    </row>
    <row r="222" customFormat="false" ht="21" hidden="false" customHeight="true" outlineLevel="0" collapsed="false">
      <c r="B222" s="572"/>
      <c r="C222" s="573"/>
      <c r="D222" s="573"/>
      <c r="E222" s="571"/>
      <c r="F222" s="571"/>
      <c r="G222" s="573"/>
      <c r="H222" s="573"/>
    </row>
    <row r="223" customFormat="false" ht="21" hidden="false" customHeight="true" outlineLevel="0" collapsed="false">
      <c r="B223" s="572"/>
      <c r="C223" s="573"/>
      <c r="D223" s="573"/>
      <c r="E223" s="571"/>
      <c r="F223" s="571"/>
      <c r="G223" s="573"/>
      <c r="H223" s="573"/>
    </row>
    <row r="224" customFormat="false" ht="21" hidden="false" customHeight="true" outlineLevel="0" collapsed="false">
      <c r="B224" s="572"/>
      <c r="C224" s="573"/>
      <c r="D224" s="573"/>
      <c r="E224" s="571"/>
      <c r="F224" s="571"/>
      <c r="G224" s="573"/>
      <c r="H224" s="573"/>
    </row>
    <row r="225" customFormat="false" ht="21" hidden="false" customHeight="true" outlineLevel="0" collapsed="false">
      <c r="B225" s="572"/>
      <c r="C225" s="573"/>
      <c r="D225" s="573"/>
      <c r="E225" s="571"/>
      <c r="F225" s="571"/>
      <c r="G225" s="573"/>
      <c r="H225" s="573"/>
    </row>
    <row r="226" customFormat="false" ht="21" hidden="false" customHeight="true" outlineLevel="0" collapsed="false">
      <c r="B226" s="572"/>
      <c r="C226" s="573"/>
      <c r="D226" s="573"/>
      <c r="E226" s="571"/>
      <c r="F226" s="571"/>
      <c r="G226" s="573"/>
      <c r="H226" s="573"/>
    </row>
    <row r="227" customFormat="false" ht="21" hidden="false" customHeight="true" outlineLevel="0" collapsed="false">
      <c r="B227" s="572"/>
      <c r="C227" s="573"/>
      <c r="D227" s="573"/>
      <c r="E227" s="571"/>
      <c r="F227" s="571"/>
      <c r="G227" s="573"/>
      <c r="H227" s="573"/>
    </row>
    <row r="228" customFormat="false" ht="21" hidden="false" customHeight="true" outlineLevel="0" collapsed="false">
      <c r="B228" s="572"/>
      <c r="C228" s="573"/>
      <c r="D228" s="573"/>
      <c r="E228" s="571"/>
      <c r="F228" s="571"/>
      <c r="G228" s="573"/>
      <c r="H228" s="573"/>
    </row>
    <row r="229" customFormat="false" ht="21" hidden="false" customHeight="true" outlineLevel="0" collapsed="false">
      <c r="B229" s="572"/>
      <c r="C229" s="573"/>
      <c r="D229" s="573"/>
      <c r="E229" s="571"/>
      <c r="F229" s="571"/>
      <c r="G229" s="573"/>
      <c r="H229" s="573"/>
    </row>
    <row r="230" customFormat="false" ht="21" hidden="false" customHeight="true" outlineLevel="0" collapsed="false">
      <c r="B230" s="572"/>
      <c r="C230" s="573"/>
      <c r="D230" s="573"/>
      <c r="E230" s="571"/>
      <c r="F230" s="571"/>
      <c r="G230" s="573"/>
      <c r="H230" s="573"/>
    </row>
    <row r="231" customFormat="false" ht="21" hidden="false" customHeight="true" outlineLevel="0" collapsed="false">
      <c r="B231" s="572"/>
      <c r="C231" s="573"/>
      <c r="D231" s="573"/>
      <c r="E231" s="571"/>
      <c r="F231" s="571"/>
      <c r="G231" s="573"/>
      <c r="H231" s="573"/>
    </row>
    <row r="232" customFormat="false" ht="21" hidden="false" customHeight="true" outlineLevel="0" collapsed="false">
      <c r="B232" s="572"/>
      <c r="C232" s="573"/>
      <c r="D232" s="573"/>
      <c r="E232" s="571"/>
      <c r="F232" s="571"/>
      <c r="G232" s="573"/>
      <c r="H232" s="573"/>
    </row>
    <row r="233" customFormat="false" ht="21" hidden="false" customHeight="true" outlineLevel="0" collapsed="false">
      <c r="B233" s="572"/>
      <c r="C233" s="573"/>
      <c r="D233" s="573"/>
      <c r="E233" s="571"/>
      <c r="F233" s="571"/>
      <c r="G233" s="573"/>
      <c r="H233" s="573"/>
    </row>
    <row r="234" customFormat="false" ht="21" hidden="false" customHeight="true" outlineLevel="0" collapsed="false">
      <c r="B234" s="572"/>
      <c r="C234" s="573"/>
      <c r="D234" s="573"/>
      <c r="E234" s="571"/>
      <c r="F234" s="571"/>
      <c r="G234" s="573"/>
      <c r="H234" s="573"/>
    </row>
    <row r="235" customFormat="false" ht="21" hidden="false" customHeight="true" outlineLevel="0" collapsed="false">
      <c r="B235" s="572"/>
      <c r="C235" s="573"/>
      <c r="D235" s="573"/>
      <c r="E235" s="571"/>
      <c r="F235" s="571"/>
      <c r="G235" s="573"/>
      <c r="H235" s="573"/>
    </row>
    <row r="236" customFormat="false" ht="21" hidden="false" customHeight="true" outlineLevel="0" collapsed="false">
      <c r="B236" s="572"/>
      <c r="C236" s="573"/>
      <c r="D236" s="573"/>
      <c r="E236" s="571"/>
      <c r="F236" s="571"/>
      <c r="G236" s="573"/>
      <c r="H236" s="573"/>
    </row>
    <row r="237" customFormat="false" ht="21" hidden="false" customHeight="true" outlineLevel="0" collapsed="false">
      <c r="B237" s="572"/>
      <c r="C237" s="573"/>
      <c r="D237" s="573"/>
      <c r="E237" s="571"/>
      <c r="F237" s="571"/>
      <c r="G237" s="573"/>
      <c r="H237" s="573"/>
    </row>
    <row r="238" customFormat="false" ht="21" hidden="false" customHeight="true" outlineLevel="0" collapsed="false">
      <c r="B238" s="572"/>
      <c r="C238" s="573"/>
      <c r="D238" s="573"/>
      <c r="E238" s="571"/>
      <c r="F238" s="571"/>
      <c r="G238" s="573"/>
      <c r="H238" s="573"/>
    </row>
    <row r="239" customFormat="false" ht="21" hidden="false" customHeight="true" outlineLevel="0" collapsed="false">
      <c r="B239" s="572"/>
      <c r="C239" s="573"/>
      <c r="D239" s="573"/>
      <c r="E239" s="571"/>
      <c r="F239" s="571"/>
      <c r="G239" s="573"/>
      <c r="H239" s="573"/>
    </row>
    <row r="240" customFormat="false" ht="21" hidden="false" customHeight="true" outlineLevel="0" collapsed="false">
      <c r="B240" s="572"/>
      <c r="C240" s="573"/>
      <c r="D240" s="573"/>
      <c r="E240" s="571"/>
      <c r="F240" s="571"/>
      <c r="G240" s="573"/>
      <c r="H240" s="573"/>
    </row>
    <row r="241" customFormat="false" ht="21" hidden="false" customHeight="true" outlineLevel="0" collapsed="false">
      <c r="B241" s="572"/>
      <c r="C241" s="573"/>
      <c r="D241" s="573"/>
      <c r="E241" s="571"/>
      <c r="F241" s="571"/>
      <c r="G241" s="573"/>
      <c r="H241" s="573"/>
    </row>
    <row r="242" customFormat="false" ht="21" hidden="false" customHeight="true" outlineLevel="0" collapsed="false">
      <c r="B242" s="572"/>
      <c r="C242" s="573"/>
      <c r="D242" s="573"/>
      <c r="E242" s="571"/>
      <c r="F242" s="571"/>
      <c r="G242" s="573"/>
      <c r="H242" s="573"/>
    </row>
    <row r="243" customFormat="false" ht="21" hidden="false" customHeight="true" outlineLevel="0" collapsed="false">
      <c r="B243" s="572"/>
      <c r="C243" s="573"/>
      <c r="D243" s="573"/>
      <c r="E243" s="571"/>
      <c r="F243" s="571"/>
      <c r="G243" s="573"/>
      <c r="H243" s="573"/>
    </row>
    <row r="244" customFormat="false" ht="21" hidden="false" customHeight="true" outlineLevel="0" collapsed="false">
      <c r="B244" s="572"/>
      <c r="C244" s="573"/>
      <c r="D244" s="573"/>
      <c r="E244" s="571"/>
      <c r="F244" s="571"/>
      <c r="G244" s="573"/>
      <c r="H244" s="573"/>
    </row>
    <row r="245" customFormat="false" ht="21" hidden="false" customHeight="true" outlineLevel="0" collapsed="false">
      <c r="B245" s="572"/>
      <c r="C245" s="573"/>
      <c r="D245" s="573"/>
      <c r="E245" s="571"/>
      <c r="F245" s="571"/>
      <c r="G245" s="573"/>
      <c r="H245" s="573"/>
    </row>
    <row r="246" customFormat="false" ht="21" hidden="false" customHeight="true" outlineLevel="0" collapsed="false">
      <c r="B246" s="572"/>
      <c r="C246" s="573"/>
      <c r="D246" s="573"/>
      <c r="E246" s="571"/>
      <c r="F246" s="571"/>
      <c r="G246" s="573"/>
      <c r="H246" s="573"/>
    </row>
    <row r="247" customFormat="false" ht="21" hidden="false" customHeight="true" outlineLevel="0" collapsed="false">
      <c r="B247" s="572"/>
      <c r="C247" s="573"/>
      <c r="D247" s="573"/>
      <c r="E247" s="571"/>
      <c r="F247" s="571"/>
      <c r="G247" s="573"/>
      <c r="H247" s="573"/>
    </row>
    <row r="248" customFormat="false" ht="21" hidden="false" customHeight="true" outlineLevel="0" collapsed="false">
      <c r="B248" s="572"/>
      <c r="C248" s="573"/>
      <c r="D248" s="573"/>
      <c r="E248" s="571"/>
      <c r="F248" s="571"/>
      <c r="G248" s="573"/>
      <c r="H248" s="573"/>
    </row>
    <row r="249" customFormat="false" ht="21" hidden="false" customHeight="true" outlineLevel="0" collapsed="false">
      <c r="B249" s="572"/>
      <c r="C249" s="573"/>
      <c r="D249" s="573"/>
      <c r="E249" s="571"/>
      <c r="F249" s="571"/>
      <c r="G249" s="573"/>
      <c r="H249" s="573"/>
    </row>
    <row r="250" customFormat="false" ht="21" hidden="false" customHeight="true" outlineLevel="0" collapsed="false">
      <c r="B250" s="572"/>
      <c r="C250" s="573"/>
      <c r="D250" s="573"/>
      <c r="E250" s="571"/>
      <c r="F250" s="571"/>
      <c r="G250" s="573"/>
      <c r="H250" s="573"/>
    </row>
    <row r="251" customFormat="false" ht="21" hidden="false" customHeight="true" outlineLevel="0" collapsed="false">
      <c r="B251" s="572"/>
      <c r="C251" s="573"/>
      <c r="D251" s="573"/>
      <c r="E251" s="571"/>
      <c r="F251" s="571"/>
      <c r="G251" s="573"/>
      <c r="H251" s="573"/>
    </row>
    <row r="252" customFormat="false" ht="21" hidden="false" customHeight="true" outlineLevel="0" collapsed="false">
      <c r="B252" s="572"/>
      <c r="C252" s="573"/>
      <c r="D252" s="573"/>
      <c r="E252" s="571"/>
      <c r="F252" s="571"/>
      <c r="G252" s="573"/>
      <c r="H252" s="573"/>
    </row>
    <row r="253" customFormat="false" ht="21" hidden="false" customHeight="true" outlineLevel="0" collapsed="false">
      <c r="B253" s="572"/>
      <c r="C253" s="573"/>
      <c r="D253" s="573"/>
      <c r="E253" s="571"/>
      <c r="F253" s="571"/>
      <c r="G253" s="573"/>
      <c r="H253" s="573"/>
    </row>
    <row r="254" customFormat="false" ht="21" hidden="false" customHeight="true" outlineLevel="0" collapsed="false">
      <c r="B254" s="572"/>
      <c r="C254" s="573"/>
      <c r="D254" s="573"/>
      <c r="E254" s="571"/>
      <c r="F254" s="571"/>
      <c r="G254" s="573"/>
      <c r="H254" s="573"/>
    </row>
    <row r="255" customFormat="false" ht="21" hidden="false" customHeight="true" outlineLevel="0" collapsed="false">
      <c r="B255" s="572"/>
      <c r="C255" s="573"/>
      <c r="D255" s="573"/>
      <c r="E255" s="571"/>
      <c r="F255" s="571"/>
      <c r="G255" s="573"/>
      <c r="H255" s="573"/>
    </row>
    <row r="256" customFormat="false" ht="21" hidden="false" customHeight="true" outlineLevel="0" collapsed="false">
      <c r="B256" s="572"/>
      <c r="C256" s="573"/>
      <c r="D256" s="573"/>
      <c r="E256" s="571"/>
      <c r="F256" s="571"/>
      <c r="G256" s="573"/>
      <c r="H256" s="573"/>
    </row>
    <row r="257" customFormat="false" ht="21" hidden="false" customHeight="true" outlineLevel="0" collapsed="false">
      <c r="B257" s="572"/>
      <c r="C257" s="573"/>
      <c r="D257" s="573"/>
      <c r="E257" s="571"/>
      <c r="F257" s="571"/>
      <c r="G257" s="573"/>
      <c r="H257" s="573"/>
    </row>
    <row r="258" customFormat="false" ht="21" hidden="false" customHeight="true" outlineLevel="0" collapsed="false">
      <c r="B258" s="572"/>
      <c r="C258" s="573"/>
      <c r="D258" s="573"/>
      <c r="E258" s="571"/>
      <c r="F258" s="571"/>
      <c r="G258" s="573"/>
      <c r="H258" s="573"/>
    </row>
    <row r="259" customFormat="false" ht="21" hidden="false" customHeight="true" outlineLevel="0" collapsed="false">
      <c r="B259" s="572"/>
      <c r="C259" s="573"/>
      <c r="D259" s="573"/>
      <c r="E259" s="571"/>
      <c r="F259" s="571"/>
      <c r="G259" s="573"/>
      <c r="H259" s="573"/>
    </row>
    <row r="260" customFormat="false" ht="21" hidden="false" customHeight="true" outlineLevel="0" collapsed="false">
      <c r="B260" s="572"/>
      <c r="C260" s="573"/>
      <c r="D260" s="573"/>
      <c r="E260" s="571"/>
      <c r="F260" s="571"/>
      <c r="G260" s="573"/>
      <c r="H260" s="573"/>
    </row>
    <row r="261" customFormat="false" ht="21" hidden="false" customHeight="true" outlineLevel="0" collapsed="false">
      <c r="B261" s="572"/>
      <c r="C261" s="573"/>
      <c r="D261" s="573"/>
      <c r="E261" s="571"/>
      <c r="F261" s="571"/>
      <c r="G261" s="573"/>
      <c r="H261" s="573"/>
    </row>
    <row r="262" customFormat="false" ht="21" hidden="false" customHeight="true" outlineLevel="0" collapsed="false">
      <c r="B262" s="572"/>
      <c r="C262" s="573"/>
      <c r="D262" s="573"/>
      <c r="E262" s="571"/>
      <c r="F262" s="571"/>
      <c r="G262" s="573"/>
      <c r="H262" s="573"/>
    </row>
    <row r="263" customFormat="false" ht="21" hidden="false" customHeight="true" outlineLevel="0" collapsed="false">
      <c r="B263" s="572"/>
      <c r="C263" s="573"/>
      <c r="D263" s="573"/>
      <c r="E263" s="571"/>
      <c r="F263" s="571"/>
      <c r="G263" s="573"/>
      <c r="H263" s="573"/>
    </row>
    <row r="264" customFormat="false" ht="21" hidden="false" customHeight="true" outlineLevel="0" collapsed="false">
      <c r="B264" s="572"/>
      <c r="C264" s="573"/>
      <c r="D264" s="573"/>
      <c r="E264" s="571"/>
      <c r="F264" s="571"/>
      <c r="G264" s="573"/>
      <c r="H264" s="573"/>
    </row>
    <row r="265" customFormat="false" ht="21" hidden="false" customHeight="true" outlineLevel="0" collapsed="false">
      <c r="B265" s="572"/>
      <c r="C265" s="573"/>
      <c r="D265" s="573"/>
      <c r="E265" s="571"/>
      <c r="F265" s="571"/>
      <c r="G265" s="573"/>
      <c r="H265" s="573"/>
    </row>
    <row r="266" customFormat="false" ht="21" hidden="false" customHeight="true" outlineLevel="0" collapsed="false">
      <c r="B266" s="572"/>
      <c r="C266" s="573"/>
      <c r="D266" s="573"/>
      <c r="E266" s="571"/>
      <c r="F266" s="571"/>
      <c r="G266" s="573"/>
      <c r="H266" s="573"/>
    </row>
    <row r="267" customFormat="false" ht="21" hidden="false" customHeight="true" outlineLevel="0" collapsed="false">
      <c r="B267" s="572"/>
      <c r="C267" s="573"/>
      <c r="D267" s="573"/>
      <c r="E267" s="571"/>
      <c r="F267" s="571"/>
      <c r="G267" s="573"/>
      <c r="H267" s="573"/>
    </row>
    <row r="268" customFormat="false" ht="21" hidden="false" customHeight="true" outlineLevel="0" collapsed="false">
      <c r="B268" s="572"/>
      <c r="C268" s="573"/>
      <c r="D268" s="573"/>
      <c r="E268" s="571"/>
      <c r="F268" s="571"/>
      <c r="G268" s="573"/>
      <c r="H268" s="573"/>
    </row>
    <row r="269" customFormat="false" ht="21" hidden="false" customHeight="true" outlineLevel="0" collapsed="false">
      <c r="B269" s="572"/>
      <c r="C269" s="573"/>
      <c r="D269" s="573"/>
      <c r="E269" s="571"/>
      <c r="F269" s="571"/>
      <c r="G269" s="573"/>
      <c r="H269" s="573"/>
    </row>
    <row r="270" customFormat="false" ht="21" hidden="false" customHeight="true" outlineLevel="0" collapsed="false">
      <c r="B270" s="572"/>
      <c r="C270" s="573"/>
      <c r="D270" s="573"/>
      <c r="E270" s="571"/>
      <c r="F270" s="571"/>
      <c r="G270" s="573"/>
      <c r="H270" s="573"/>
    </row>
    <row r="271" customFormat="false" ht="21" hidden="false" customHeight="true" outlineLevel="0" collapsed="false">
      <c r="B271" s="572"/>
      <c r="C271" s="573"/>
      <c r="D271" s="573"/>
      <c r="E271" s="571"/>
      <c r="F271" s="571"/>
      <c r="G271" s="573"/>
      <c r="H271" s="573"/>
    </row>
    <row r="272" customFormat="false" ht="21" hidden="false" customHeight="true" outlineLevel="0" collapsed="false">
      <c r="B272" s="572"/>
      <c r="C272" s="573"/>
      <c r="D272" s="573"/>
      <c r="E272" s="571"/>
      <c r="F272" s="571"/>
      <c r="G272" s="573"/>
      <c r="H272" s="573"/>
    </row>
    <row r="273" customFormat="false" ht="21" hidden="false" customHeight="true" outlineLevel="0" collapsed="false">
      <c r="B273" s="572"/>
      <c r="C273" s="573"/>
      <c r="D273" s="573"/>
      <c r="E273" s="571"/>
      <c r="F273" s="571"/>
      <c r="G273" s="573"/>
      <c r="H273" s="573"/>
    </row>
    <row r="274" customFormat="false" ht="21" hidden="false" customHeight="true" outlineLevel="0" collapsed="false">
      <c r="B274" s="572"/>
      <c r="C274" s="573"/>
      <c r="D274" s="573"/>
      <c r="E274" s="571"/>
      <c r="F274" s="571"/>
      <c r="G274" s="573"/>
      <c r="H274" s="573"/>
    </row>
    <row r="275" customFormat="false" ht="21" hidden="false" customHeight="true" outlineLevel="0" collapsed="false">
      <c r="B275" s="572"/>
      <c r="C275" s="573"/>
      <c r="D275" s="573"/>
      <c r="E275" s="571"/>
      <c r="F275" s="571"/>
      <c r="G275" s="573"/>
      <c r="H275" s="573"/>
    </row>
    <row r="276" customFormat="false" ht="21" hidden="false" customHeight="true" outlineLevel="0" collapsed="false">
      <c r="B276" s="572"/>
      <c r="C276" s="573"/>
      <c r="D276" s="573"/>
      <c r="E276" s="571"/>
      <c r="F276" s="571"/>
      <c r="G276" s="573"/>
      <c r="H276" s="573"/>
    </row>
    <row r="277" customFormat="false" ht="21" hidden="false" customHeight="true" outlineLevel="0" collapsed="false">
      <c r="B277" s="572"/>
      <c r="C277" s="573"/>
      <c r="D277" s="573"/>
      <c r="E277" s="571"/>
      <c r="F277" s="571"/>
      <c r="G277" s="573"/>
      <c r="H277" s="573"/>
    </row>
    <row r="278" customFormat="false" ht="21" hidden="false" customHeight="true" outlineLevel="0" collapsed="false">
      <c r="B278" s="572"/>
      <c r="C278" s="573"/>
      <c r="D278" s="573"/>
      <c r="E278" s="571"/>
      <c r="F278" s="571"/>
      <c r="G278" s="573"/>
      <c r="H278" s="573"/>
    </row>
    <row r="279" customFormat="false" ht="21" hidden="false" customHeight="true" outlineLevel="0" collapsed="false">
      <c r="B279" s="572"/>
      <c r="C279" s="573"/>
      <c r="D279" s="573"/>
      <c r="E279" s="571"/>
      <c r="F279" s="571"/>
      <c r="G279" s="573"/>
      <c r="H279" s="573"/>
    </row>
    <row r="280" customFormat="false" ht="21" hidden="false" customHeight="true" outlineLevel="0" collapsed="false">
      <c r="B280" s="572"/>
      <c r="C280" s="573"/>
      <c r="D280" s="573"/>
      <c r="E280" s="571"/>
      <c r="F280" s="571"/>
      <c r="G280" s="573"/>
      <c r="H280" s="573"/>
    </row>
    <row r="281" customFormat="false" ht="21" hidden="false" customHeight="true" outlineLevel="0" collapsed="false">
      <c r="B281" s="572"/>
      <c r="C281" s="573"/>
      <c r="D281" s="573"/>
      <c r="E281" s="571"/>
      <c r="F281" s="571"/>
      <c r="G281" s="573"/>
      <c r="H281" s="573"/>
    </row>
    <row r="282" customFormat="false" ht="21" hidden="false" customHeight="true" outlineLevel="0" collapsed="false">
      <c r="B282" s="572"/>
      <c r="C282" s="573"/>
      <c r="D282" s="573"/>
      <c r="E282" s="571"/>
      <c r="F282" s="571"/>
      <c r="G282" s="573"/>
      <c r="H282" s="573"/>
    </row>
    <row r="283" customFormat="false" ht="21" hidden="false" customHeight="true" outlineLevel="0" collapsed="false">
      <c r="B283" s="572"/>
      <c r="C283" s="573"/>
      <c r="D283" s="573"/>
      <c r="E283" s="571"/>
      <c r="F283" s="571"/>
      <c r="G283" s="573"/>
      <c r="H283" s="573"/>
    </row>
    <row r="284" customFormat="false" ht="21" hidden="false" customHeight="true" outlineLevel="0" collapsed="false">
      <c r="B284" s="572"/>
      <c r="C284" s="573"/>
      <c r="D284" s="573"/>
      <c r="E284" s="571"/>
      <c r="F284" s="571"/>
      <c r="G284" s="573"/>
      <c r="H284" s="573"/>
    </row>
    <row r="285" customFormat="false" ht="21" hidden="false" customHeight="true" outlineLevel="0" collapsed="false">
      <c r="B285" s="572"/>
      <c r="C285" s="573"/>
      <c r="D285" s="573"/>
      <c r="E285" s="571"/>
      <c r="F285" s="571"/>
      <c r="G285" s="573"/>
      <c r="H285" s="573"/>
    </row>
    <row r="286" customFormat="false" ht="21" hidden="false" customHeight="true" outlineLevel="0" collapsed="false">
      <c r="B286" s="572"/>
      <c r="C286" s="573"/>
      <c r="D286" s="573"/>
      <c r="E286" s="571"/>
      <c r="F286" s="571"/>
      <c r="G286" s="573"/>
      <c r="H286" s="573"/>
    </row>
    <row r="287" customFormat="false" ht="21" hidden="false" customHeight="true" outlineLevel="0" collapsed="false">
      <c r="B287" s="572"/>
      <c r="C287" s="573"/>
      <c r="D287" s="573"/>
      <c r="E287" s="571"/>
      <c r="F287" s="571"/>
      <c r="G287" s="573"/>
      <c r="H287" s="573"/>
    </row>
    <row r="288" customFormat="false" ht="21" hidden="false" customHeight="true" outlineLevel="0" collapsed="false">
      <c r="B288" s="572"/>
      <c r="C288" s="573"/>
      <c r="D288" s="573"/>
      <c r="E288" s="571"/>
      <c r="F288" s="571"/>
      <c r="G288" s="573"/>
      <c r="H288" s="573"/>
    </row>
    <row r="289" customFormat="false" ht="21" hidden="false" customHeight="true" outlineLevel="0" collapsed="false">
      <c r="B289" s="572"/>
      <c r="C289" s="573"/>
      <c r="D289" s="573"/>
      <c r="E289" s="571"/>
      <c r="F289" s="571"/>
      <c r="G289" s="573"/>
      <c r="H289" s="573"/>
    </row>
    <row r="290" customFormat="false" ht="21" hidden="false" customHeight="true" outlineLevel="0" collapsed="false">
      <c r="B290" s="572"/>
      <c r="C290" s="573"/>
      <c r="D290" s="573"/>
      <c r="E290" s="571"/>
      <c r="F290" s="571"/>
      <c r="G290" s="573"/>
      <c r="H290" s="573"/>
    </row>
    <row r="291" customFormat="false" ht="21" hidden="false" customHeight="true" outlineLevel="0" collapsed="false">
      <c r="B291" s="572"/>
      <c r="C291" s="573"/>
      <c r="D291" s="573"/>
      <c r="E291" s="571"/>
      <c r="F291" s="571"/>
      <c r="G291" s="573"/>
      <c r="H291" s="573"/>
    </row>
    <row r="292" customFormat="false" ht="21" hidden="false" customHeight="true" outlineLevel="0" collapsed="false">
      <c r="B292" s="572"/>
      <c r="C292" s="573"/>
      <c r="D292" s="573"/>
      <c r="E292" s="571"/>
      <c r="F292" s="571"/>
      <c r="G292" s="573"/>
      <c r="H292" s="573"/>
    </row>
    <row r="293" customFormat="false" ht="21" hidden="false" customHeight="true" outlineLevel="0" collapsed="false">
      <c r="B293" s="572"/>
      <c r="C293" s="573"/>
      <c r="D293" s="573"/>
      <c r="E293" s="571"/>
      <c r="F293" s="571"/>
      <c r="G293" s="573"/>
      <c r="H293" s="573"/>
    </row>
    <row r="294" customFormat="false" ht="21" hidden="false" customHeight="true" outlineLevel="0" collapsed="false">
      <c r="B294" s="572"/>
      <c r="C294" s="573"/>
      <c r="D294" s="573"/>
      <c r="E294" s="571"/>
      <c r="F294" s="571"/>
      <c r="G294" s="573"/>
      <c r="H294" s="573"/>
    </row>
    <row r="295" customFormat="false" ht="21" hidden="false" customHeight="true" outlineLevel="0" collapsed="false">
      <c r="B295" s="572"/>
      <c r="C295" s="573"/>
      <c r="D295" s="573"/>
      <c r="E295" s="571"/>
      <c r="F295" s="571"/>
      <c r="G295" s="573"/>
      <c r="H295" s="573"/>
    </row>
    <row r="296" customFormat="false" ht="21" hidden="false" customHeight="true" outlineLevel="0" collapsed="false">
      <c r="B296" s="572"/>
      <c r="C296" s="573"/>
      <c r="D296" s="573"/>
      <c r="E296" s="571"/>
      <c r="F296" s="571"/>
      <c r="G296" s="573"/>
      <c r="H296" s="573"/>
    </row>
    <row r="297" customFormat="false" ht="21" hidden="false" customHeight="true" outlineLevel="0" collapsed="false">
      <c r="B297" s="572"/>
      <c r="C297" s="573"/>
      <c r="D297" s="573"/>
      <c r="E297" s="571"/>
      <c r="F297" s="571"/>
      <c r="G297" s="573"/>
      <c r="H297" s="573"/>
    </row>
    <row r="298" customFormat="false" ht="21" hidden="false" customHeight="true" outlineLevel="0" collapsed="false">
      <c r="B298" s="572"/>
      <c r="C298" s="573"/>
      <c r="D298" s="573"/>
      <c r="E298" s="571"/>
      <c r="F298" s="571"/>
      <c r="G298" s="573"/>
      <c r="H298" s="573"/>
    </row>
    <row r="299" customFormat="false" ht="21" hidden="false" customHeight="true" outlineLevel="0" collapsed="false">
      <c r="B299" s="572"/>
      <c r="C299" s="573"/>
      <c r="D299" s="573"/>
      <c r="E299" s="571"/>
      <c r="F299" s="571"/>
      <c r="G299" s="573"/>
      <c r="H299" s="573"/>
    </row>
    <row r="300" customFormat="false" ht="21" hidden="false" customHeight="true" outlineLevel="0" collapsed="false">
      <c r="B300" s="572"/>
      <c r="C300" s="573"/>
      <c r="D300" s="573"/>
      <c r="E300" s="571"/>
      <c r="F300" s="571"/>
      <c r="G300" s="573"/>
      <c r="H300" s="573"/>
    </row>
    <row r="301" customFormat="false" ht="21" hidden="false" customHeight="true" outlineLevel="0" collapsed="false">
      <c r="B301" s="572"/>
      <c r="C301" s="573"/>
      <c r="D301" s="573"/>
      <c r="E301" s="571"/>
      <c r="F301" s="571"/>
      <c r="G301" s="573"/>
      <c r="H301" s="573"/>
    </row>
    <row r="302" customFormat="false" ht="21" hidden="false" customHeight="true" outlineLevel="0" collapsed="false">
      <c r="B302" s="572"/>
      <c r="C302" s="573"/>
      <c r="D302" s="573"/>
      <c r="E302" s="571"/>
      <c r="F302" s="571"/>
      <c r="G302" s="573"/>
      <c r="H302" s="573"/>
    </row>
    <row r="303" customFormat="false" ht="21" hidden="false" customHeight="true" outlineLevel="0" collapsed="false">
      <c r="B303" s="572"/>
      <c r="C303" s="573"/>
      <c r="D303" s="573"/>
      <c r="E303" s="571"/>
      <c r="F303" s="571"/>
      <c r="G303" s="573"/>
      <c r="H303" s="573"/>
    </row>
    <row r="304" customFormat="false" ht="21" hidden="false" customHeight="true" outlineLevel="0" collapsed="false">
      <c r="B304" s="572"/>
      <c r="C304" s="573"/>
      <c r="D304" s="573"/>
      <c r="E304" s="571"/>
      <c r="F304" s="571"/>
      <c r="G304" s="573"/>
      <c r="H304" s="573"/>
    </row>
    <row r="305" customFormat="false" ht="21" hidden="false" customHeight="true" outlineLevel="0" collapsed="false">
      <c r="B305" s="572"/>
      <c r="C305" s="573"/>
      <c r="D305" s="573"/>
      <c r="E305" s="571"/>
      <c r="F305" s="571"/>
      <c r="G305" s="573"/>
      <c r="H305" s="573"/>
    </row>
    <row r="306" customFormat="false" ht="21" hidden="false" customHeight="true" outlineLevel="0" collapsed="false">
      <c r="B306" s="572"/>
      <c r="C306" s="573"/>
      <c r="D306" s="573"/>
      <c r="E306" s="571"/>
      <c r="F306" s="571"/>
      <c r="G306" s="573"/>
      <c r="H306" s="573"/>
    </row>
    <row r="307" customFormat="false" ht="21" hidden="false" customHeight="true" outlineLevel="0" collapsed="false">
      <c r="B307" s="572"/>
      <c r="C307" s="573"/>
      <c r="D307" s="573"/>
      <c r="E307" s="571"/>
      <c r="F307" s="571"/>
      <c r="G307" s="573"/>
      <c r="H307" s="573"/>
    </row>
    <row r="308" customFormat="false" ht="21" hidden="false" customHeight="true" outlineLevel="0" collapsed="false">
      <c r="B308" s="572"/>
      <c r="C308" s="573"/>
      <c r="D308" s="573"/>
      <c r="E308" s="571"/>
      <c r="F308" s="571"/>
      <c r="G308" s="573"/>
      <c r="H308" s="573"/>
    </row>
    <row r="309" customFormat="false" ht="21" hidden="false" customHeight="true" outlineLevel="0" collapsed="false">
      <c r="B309" s="572"/>
      <c r="C309" s="573"/>
      <c r="D309" s="573"/>
      <c r="E309" s="571"/>
      <c r="F309" s="571"/>
      <c r="G309" s="573"/>
      <c r="H309" s="573"/>
    </row>
    <row r="310" customFormat="false" ht="21" hidden="false" customHeight="true" outlineLevel="0" collapsed="false">
      <c r="B310" s="572"/>
      <c r="C310" s="573"/>
      <c r="D310" s="573"/>
      <c r="E310" s="571"/>
      <c r="F310" s="571"/>
      <c r="G310" s="573"/>
      <c r="H310" s="573"/>
    </row>
    <row r="311" customFormat="false" ht="21" hidden="false" customHeight="true" outlineLevel="0" collapsed="false">
      <c r="B311" s="572"/>
      <c r="C311" s="573"/>
      <c r="D311" s="573"/>
      <c r="E311" s="571"/>
      <c r="F311" s="571"/>
      <c r="G311" s="573"/>
      <c r="H311" s="573"/>
    </row>
    <row r="312" customFormat="false" ht="21" hidden="false" customHeight="true" outlineLevel="0" collapsed="false">
      <c r="B312" s="572"/>
      <c r="C312" s="573"/>
      <c r="D312" s="573"/>
      <c r="E312" s="571"/>
      <c r="F312" s="571"/>
      <c r="G312" s="573"/>
      <c r="H312" s="573"/>
    </row>
    <row r="313" customFormat="false" ht="21" hidden="false" customHeight="true" outlineLevel="0" collapsed="false">
      <c r="B313" s="572"/>
      <c r="C313" s="573"/>
      <c r="D313" s="573"/>
      <c r="E313" s="571"/>
      <c r="F313" s="571"/>
      <c r="G313" s="573"/>
      <c r="H313" s="573"/>
    </row>
    <row r="314" customFormat="false" ht="21" hidden="false" customHeight="true" outlineLevel="0" collapsed="false">
      <c r="B314" s="572"/>
      <c r="C314" s="573"/>
      <c r="D314" s="573"/>
      <c r="E314" s="571"/>
      <c r="F314" s="571"/>
      <c r="G314" s="573"/>
      <c r="H314" s="573"/>
    </row>
    <row r="315" customFormat="false" ht="21" hidden="false" customHeight="true" outlineLevel="0" collapsed="false">
      <c r="B315" s="572"/>
      <c r="C315" s="573"/>
      <c r="D315" s="573"/>
      <c r="E315" s="571"/>
      <c r="F315" s="571"/>
      <c r="G315" s="573"/>
      <c r="H315" s="573"/>
    </row>
    <row r="316" customFormat="false" ht="21" hidden="false" customHeight="true" outlineLevel="0" collapsed="false">
      <c r="B316" s="572"/>
      <c r="C316" s="573"/>
      <c r="D316" s="573"/>
      <c r="E316" s="571"/>
      <c r="F316" s="571"/>
      <c r="G316" s="573"/>
      <c r="H316" s="573"/>
    </row>
    <row r="317" customFormat="false" ht="21" hidden="false" customHeight="true" outlineLevel="0" collapsed="false">
      <c r="B317" s="572"/>
      <c r="C317" s="573"/>
      <c r="D317" s="573"/>
      <c r="E317" s="571"/>
      <c r="F317" s="571"/>
      <c r="G317" s="573"/>
      <c r="H317" s="573"/>
    </row>
    <row r="318" customFormat="false" ht="21" hidden="false" customHeight="true" outlineLevel="0" collapsed="false">
      <c r="B318" s="572"/>
      <c r="C318" s="573"/>
      <c r="D318" s="573"/>
      <c r="E318" s="571"/>
      <c r="F318" s="571"/>
      <c r="G318" s="573"/>
      <c r="H318" s="573"/>
    </row>
    <row r="319" customFormat="false" ht="21" hidden="false" customHeight="true" outlineLevel="0" collapsed="false">
      <c r="B319" s="572"/>
      <c r="C319" s="573"/>
      <c r="D319" s="573"/>
      <c r="E319" s="571"/>
      <c r="F319" s="571"/>
      <c r="G319" s="573"/>
      <c r="H319" s="573"/>
    </row>
    <row r="320" customFormat="false" ht="21" hidden="false" customHeight="true" outlineLevel="0" collapsed="false">
      <c r="B320" s="572"/>
      <c r="C320" s="573"/>
      <c r="D320" s="573"/>
      <c r="E320" s="571"/>
      <c r="F320" s="571"/>
      <c r="G320" s="573"/>
      <c r="H320" s="573"/>
    </row>
    <row r="321" customFormat="false" ht="21" hidden="false" customHeight="true" outlineLevel="0" collapsed="false">
      <c r="B321" s="572"/>
      <c r="C321" s="573"/>
      <c r="D321" s="573"/>
      <c r="E321" s="571"/>
      <c r="F321" s="571"/>
      <c r="G321" s="573"/>
      <c r="H321" s="573"/>
    </row>
    <row r="322" customFormat="false" ht="21" hidden="false" customHeight="true" outlineLevel="0" collapsed="false">
      <c r="B322" s="572"/>
      <c r="C322" s="573"/>
      <c r="D322" s="573"/>
      <c r="E322" s="571"/>
      <c r="F322" s="571"/>
      <c r="G322" s="573"/>
      <c r="H322" s="573"/>
    </row>
    <row r="323" customFormat="false" ht="21" hidden="false" customHeight="true" outlineLevel="0" collapsed="false">
      <c r="B323" s="572"/>
      <c r="C323" s="573"/>
      <c r="D323" s="573"/>
      <c r="E323" s="571"/>
      <c r="F323" s="571"/>
      <c r="G323" s="573"/>
      <c r="H323" s="573"/>
    </row>
    <row r="324" customFormat="false" ht="21" hidden="false" customHeight="true" outlineLevel="0" collapsed="false">
      <c r="B324" s="572"/>
      <c r="C324" s="573"/>
      <c r="D324" s="573"/>
      <c r="E324" s="571"/>
      <c r="F324" s="571"/>
      <c r="G324" s="573"/>
      <c r="H324" s="573"/>
    </row>
    <row r="325" customFormat="false" ht="21" hidden="false" customHeight="true" outlineLevel="0" collapsed="false">
      <c r="B325" s="572"/>
      <c r="C325" s="573"/>
      <c r="D325" s="573"/>
      <c r="E325" s="571"/>
      <c r="F325" s="571"/>
      <c r="G325" s="573"/>
      <c r="H325" s="573"/>
    </row>
    <row r="326" customFormat="false" ht="21" hidden="false" customHeight="true" outlineLevel="0" collapsed="false">
      <c r="B326" s="572"/>
      <c r="C326" s="573"/>
      <c r="D326" s="573"/>
      <c r="E326" s="571"/>
      <c r="F326" s="571"/>
      <c r="G326" s="573"/>
      <c r="H326" s="573"/>
    </row>
    <row r="327" customFormat="false" ht="21" hidden="false" customHeight="true" outlineLevel="0" collapsed="false">
      <c r="B327" s="572"/>
      <c r="C327" s="573"/>
      <c r="D327" s="573"/>
      <c r="E327" s="571"/>
      <c r="F327" s="571"/>
      <c r="G327" s="573"/>
      <c r="H327" s="573"/>
    </row>
    <row r="328" customFormat="false" ht="21" hidden="false" customHeight="true" outlineLevel="0" collapsed="false">
      <c r="B328" s="572"/>
      <c r="C328" s="573"/>
      <c r="D328" s="573"/>
      <c r="E328" s="571"/>
      <c r="F328" s="571"/>
      <c r="G328" s="573"/>
      <c r="H328" s="573"/>
    </row>
    <row r="329" customFormat="false" ht="21" hidden="false" customHeight="true" outlineLevel="0" collapsed="false">
      <c r="B329" s="572"/>
      <c r="C329" s="573"/>
      <c r="D329" s="573"/>
      <c r="E329" s="571"/>
      <c r="F329" s="571"/>
      <c r="G329" s="573"/>
      <c r="H329" s="573"/>
    </row>
    <row r="330" customFormat="false" ht="21" hidden="false" customHeight="true" outlineLevel="0" collapsed="false">
      <c r="B330" s="572"/>
      <c r="C330" s="573"/>
      <c r="D330" s="573"/>
      <c r="E330" s="571"/>
      <c r="F330" s="571"/>
      <c r="G330" s="573"/>
      <c r="H330" s="573"/>
    </row>
    <row r="331" customFormat="false" ht="21" hidden="false" customHeight="true" outlineLevel="0" collapsed="false">
      <c r="B331" s="572"/>
      <c r="C331" s="573"/>
      <c r="D331" s="573"/>
      <c r="E331" s="571"/>
      <c r="F331" s="571"/>
      <c r="G331" s="573"/>
      <c r="H331" s="573"/>
    </row>
    <row r="332" customFormat="false" ht="21" hidden="false" customHeight="true" outlineLevel="0" collapsed="false">
      <c r="B332" s="572"/>
      <c r="C332" s="573"/>
      <c r="D332" s="573"/>
      <c r="E332" s="571"/>
      <c r="F332" s="571"/>
      <c r="G332" s="573"/>
      <c r="H332" s="573"/>
    </row>
    <row r="333" customFormat="false" ht="21" hidden="false" customHeight="true" outlineLevel="0" collapsed="false">
      <c r="B333" s="572"/>
      <c r="C333" s="573"/>
      <c r="D333" s="573"/>
      <c r="E333" s="571"/>
      <c r="F333" s="571"/>
      <c r="G333" s="573"/>
      <c r="H333" s="573"/>
    </row>
    <row r="334" customFormat="false" ht="21" hidden="false" customHeight="true" outlineLevel="0" collapsed="false">
      <c r="B334" s="572"/>
      <c r="C334" s="573"/>
      <c r="D334" s="573"/>
      <c r="E334" s="571"/>
      <c r="F334" s="571"/>
      <c r="G334" s="573"/>
      <c r="H334" s="573"/>
    </row>
    <row r="335" customFormat="false" ht="21" hidden="false" customHeight="true" outlineLevel="0" collapsed="false">
      <c r="B335" s="572"/>
      <c r="C335" s="573"/>
      <c r="D335" s="573"/>
      <c r="E335" s="571"/>
      <c r="F335" s="571"/>
      <c r="G335" s="573"/>
      <c r="H335" s="573"/>
    </row>
    <row r="336" customFormat="false" ht="21" hidden="false" customHeight="true" outlineLevel="0" collapsed="false">
      <c r="B336" s="572"/>
      <c r="C336" s="573"/>
      <c r="D336" s="573"/>
      <c r="E336" s="571"/>
      <c r="F336" s="571"/>
      <c r="G336" s="573"/>
      <c r="H336" s="573"/>
    </row>
    <row r="337" customFormat="false" ht="21" hidden="false" customHeight="true" outlineLevel="0" collapsed="false">
      <c r="B337" s="572"/>
      <c r="C337" s="573"/>
      <c r="D337" s="573"/>
      <c r="E337" s="571"/>
      <c r="F337" s="571"/>
      <c r="G337" s="573"/>
      <c r="H337" s="573"/>
    </row>
    <row r="338" customFormat="false" ht="21" hidden="false" customHeight="true" outlineLevel="0" collapsed="false">
      <c r="B338" s="572"/>
      <c r="C338" s="573"/>
      <c r="D338" s="573"/>
      <c r="E338" s="571"/>
      <c r="F338" s="571"/>
      <c r="G338" s="573"/>
      <c r="H338" s="573"/>
    </row>
    <row r="339" customFormat="false" ht="21" hidden="false" customHeight="true" outlineLevel="0" collapsed="false">
      <c r="B339" s="572"/>
      <c r="C339" s="573"/>
      <c r="D339" s="573"/>
      <c r="E339" s="571"/>
      <c r="F339" s="571"/>
      <c r="G339" s="573"/>
      <c r="H339" s="573"/>
    </row>
    <row r="340" customFormat="false" ht="21" hidden="false" customHeight="true" outlineLevel="0" collapsed="false">
      <c r="B340" s="572"/>
      <c r="C340" s="573"/>
      <c r="D340" s="573"/>
      <c r="E340" s="571"/>
      <c r="F340" s="571"/>
      <c r="G340" s="573"/>
      <c r="H340" s="573"/>
    </row>
    <row r="341" customFormat="false" ht="21" hidden="false" customHeight="true" outlineLevel="0" collapsed="false">
      <c r="B341" s="572"/>
      <c r="C341" s="573"/>
      <c r="D341" s="573"/>
      <c r="E341" s="571"/>
      <c r="F341" s="571"/>
      <c r="G341" s="573"/>
      <c r="H341" s="573"/>
    </row>
    <row r="342" customFormat="false" ht="21" hidden="false" customHeight="true" outlineLevel="0" collapsed="false">
      <c r="B342" s="572"/>
      <c r="C342" s="573"/>
      <c r="D342" s="573"/>
      <c r="E342" s="571"/>
      <c r="F342" s="571"/>
      <c r="G342" s="573"/>
      <c r="H342" s="573"/>
    </row>
    <row r="343" customFormat="false" ht="21" hidden="false" customHeight="true" outlineLevel="0" collapsed="false">
      <c r="B343" s="572"/>
      <c r="C343" s="573"/>
      <c r="D343" s="573"/>
      <c r="E343" s="571"/>
      <c r="F343" s="571"/>
      <c r="G343" s="573"/>
      <c r="H343" s="573"/>
    </row>
    <row r="344" customFormat="false" ht="21" hidden="false" customHeight="true" outlineLevel="0" collapsed="false">
      <c r="B344" s="572"/>
      <c r="C344" s="573"/>
      <c r="D344" s="573"/>
      <c r="E344" s="571"/>
      <c r="F344" s="571"/>
      <c r="G344" s="573"/>
      <c r="H344" s="573"/>
    </row>
    <row r="345" customFormat="false" ht="21" hidden="false" customHeight="true" outlineLevel="0" collapsed="false">
      <c r="B345" s="572"/>
      <c r="C345" s="573"/>
      <c r="D345" s="573"/>
      <c r="E345" s="571"/>
      <c r="F345" s="571"/>
      <c r="G345" s="573"/>
      <c r="H345" s="573"/>
    </row>
    <row r="346" customFormat="false" ht="21" hidden="false" customHeight="true" outlineLevel="0" collapsed="false">
      <c r="B346" s="572"/>
      <c r="C346" s="573"/>
      <c r="D346" s="573"/>
      <c r="E346" s="571"/>
      <c r="F346" s="571"/>
      <c r="G346" s="573"/>
      <c r="H346" s="573"/>
    </row>
    <row r="347" customFormat="false" ht="21" hidden="false" customHeight="true" outlineLevel="0" collapsed="false">
      <c r="B347" s="572"/>
      <c r="C347" s="573"/>
      <c r="D347" s="573"/>
      <c r="E347" s="571"/>
      <c r="F347" s="571"/>
      <c r="G347" s="573"/>
      <c r="H347" s="573"/>
    </row>
    <row r="348" customFormat="false" ht="21" hidden="false" customHeight="true" outlineLevel="0" collapsed="false">
      <c r="B348" s="572"/>
      <c r="C348" s="573"/>
      <c r="D348" s="573"/>
      <c r="E348" s="571"/>
      <c r="F348" s="571"/>
      <c r="G348" s="573"/>
      <c r="H348" s="573"/>
    </row>
    <row r="349" customFormat="false" ht="21" hidden="false" customHeight="true" outlineLevel="0" collapsed="false">
      <c r="B349" s="572"/>
      <c r="C349" s="573"/>
      <c r="D349" s="573"/>
      <c r="E349" s="571"/>
      <c r="F349" s="571"/>
      <c r="G349" s="573"/>
      <c r="H349" s="573"/>
    </row>
    <row r="350" customFormat="false" ht="21" hidden="false" customHeight="true" outlineLevel="0" collapsed="false">
      <c r="B350" s="572"/>
      <c r="C350" s="573"/>
      <c r="D350" s="573"/>
      <c r="E350" s="571"/>
      <c r="F350" s="571"/>
      <c r="G350" s="573"/>
      <c r="H350" s="573"/>
    </row>
    <row r="351" customFormat="false" ht="21" hidden="false" customHeight="true" outlineLevel="0" collapsed="false">
      <c r="B351" s="572"/>
      <c r="C351" s="573"/>
      <c r="D351" s="573"/>
      <c r="E351" s="571"/>
      <c r="F351" s="571"/>
      <c r="G351" s="573"/>
      <c r="H351" s="573"/>
    </row>
    <row r="352" customFormat="false" ht="21" hidden="false" customHeight="true" outlineLevel="0" collapsed="false">
      <c r="B352" s="572"/>
      <c r="C352" s="573"/>
      <c r="D352" s="573"/>
      <c r="E352" s="571"/>
      <c r="F352" s="571"/>
      <c r="G352" s="573"/>
      <c r="H352" s="573"/>
    </row>
    <row r="353" customFormat="false" ht="21" hidden="false" customHeight="true" outlineLevel="0" collapsed="false">
      <c r="B353" s="572"/>
      <c r="C353" s="573"/>
      <c r="D353" s="573"/>
      <c r="E353" s="571"/>
      <c r="F353" s="571"/>
      <c r="G353" s="573"/>
      <c r="H353" s="573"/>
    </row>
    <row r="354" customFormat="false" ht="21" hidden="false" customHeight="true" outlineLevel="0" collapsed="false">
      <c r="B354" s="572"/>
      <c r="C354" s="573"/>
      <c r="D354" s="573"/>
      <c r="E354" s="571"/>
      <c r="F354" s="571"/>
      <c r="G354" s="573"/>
      <c r="H354" s="573"/>
    </row>
    <row r="355" customFormat="false" ht="21" hidden="false" customHeight="true" outlineLevel="0" collapsed="false">
      <c r="B355" s="572"/>
      <c r="C355" s="573"/>
      <c r="D355" s="573"/>
      <c r="E355" s="571"/>
      <c r="F355" s="571"/>
      <c r="G355" s="573"/>
      <c r="H355" s="573"/>
    </row>
    <row r="356" customFormat="false" ht="21" hidden="false" customHeight="true" outlineLevel="0" collapsed="false">
      <c r="B356" s="572"/>
      <c r="C356" s="573"/>
      <c r="D356" s="573"/>
      <c r="E356" s="571"/>
      <c r="F356" s="571"/>
      <c r="G356" s="573"/>
      <c r="H356" s="573"/>
    </row>
    <row r="357" customFormat="false" ht="21" hidden="false" customHeight="true" outlineLevel="0" collapsed="false">
      <c r="B357" s="572"/>
      <c r="C357" s="573"/>
      <c r="D357" s="573"/>
      <c r="E357" s="571"/>
      <c r="F357" s="571"/>
      <c r="G357" s="573"/>
      <c r="H357" s="573"/>
    </row>
    <row r="358" customFormat="false" ht="21" hidden="false" customHeight="true" outlineLevel="0" collapsed="false">
      <c r="B358" s="572"/>
      <c r="C358" s="573"/>
      <c r="D358" s="573"/>
      <c r="E358" s="571"/>
      <c r="F358" s="571"/>
      <c r="G358" s="573"/>
      <c r="H358" s="573"/>
    </row>
    <row r="359" customFormat="false" ht="21" hidden="false" customHeight="true" outlineLevel="0" collapsed="false">
      <c r="B359" s="572"/>
      <c r="C359" s="573"/>
      <c r="D359" s="573"/>
      <c r="E359" s="571"/>
      <c r="F359" s="571"/>
      <c r="G359" s="573"/>
      <c r="H359" s="573"/>
    </row>
    <row r="360" customFormat="false" ht="21" hidden="false" customHeight="true" outlineLevel="0" collapsed="false">
      <c r="B360" s="572"/>
      <c r="C360" s="573"/>
      <c r="D360" s="573"/>
      <c r="E360" s="571"/>
      <c r="F360" s="571"/>
      <c r="G360" s="573"/>
      <c r="H360" s="573"/>
    </row>
    <row r="361" customFormat="false" ht="21" hidden="false" customHeight="true" outlineLevel="0" collapsed="false">
      <c r="B361" s="572"/>
      <c r="C361" s="573"/>
      <c r="D361" s="573"/>
      <c r="E361" s="571"/>
      <c r="F361" s="571"/>
      <c r="G361" s="573"/>
      <c r="H361" s="573"/>
    </row>
    <row r="362" customFormat="false" ht="21" hidden="false" customHeight="true" outlineLevel="0" collapsed="false">
      <c r="B362" s="572"/>
      <c r="C362" s="573"/>
      <c r="D362" s="573"/>
      <c r="E362" s="571"/>
      <c r="F362" s="571"/>
      <c r="G362" s="573"/>
      <c r="H362" s="573"/>
    </row>
    <row r="363" customFormat="false" ht="21" hidden="false" customHeight="true" outlineLevel="0" collapsed="false">
      <c r="B363" s="572"/>
      <c r="C363" s="573"/>
      <c r="D363" s="573"/>
      <c r="E363" s="571"/>
      <c r="F363" s="571"/>
      <c r="G363" s="573"/>
      <c r="H363" s="573"/>
    </row>
    <row r="364" customFormat="false" ht="21" hidden="false" customHeight="true" outlineLevel="0" collapsed="false">
      <c r="B364" s="572"/>
      <c r="C364" s="573"/>
      <c r="D364" s="573"/>
      <c r="E364" s="571"/>
      <c r="F364" s="571"/>
      <c r="G364" s="573"/>
      <c r="H364" s="573"/>
    </row>
    <row r="365" customFormat="false" ht="21" hidden="false" customHeight="true" outlineLevel="0" collapsed="false">
      <c r="B365" s="572"/>
      <c r="C365" s="573"/>
      <c r="D365" s="573"/>
      <c r="E365" s="571"/>
      <c r="F365" s="571"/>
      <c r="G365" s="573"/>
      <c r="H365" s="573"/>
    </row>
    <row r="366" customFormat="false" ht="21" hidden="false" customHeight="true" outlineLevel="0" collapsed="false">
      <c r="B366" s="572"/>
      <c r="C366" s="573"/>
      <c r="D366" s="573"/>
      <c r="E366" s="571"/>
      <c r="F366" s="571"/>
      <c r="G366" s="573"/>
      <c r="H366" s="573"/>
    </row>
    <row r="367" customFormat="false" ht="21" hidden="false" customHeight="true" outlineLevel="0" collapsed="false">
      <c r="B367" s="572"/>
      <c r="C367" s="573"/>
      <c r="D367" s="573"/>
      <c r="E367" s="571"/>
      <c r="F367" s="571"/>
      <c r="G367" s="573"/>
      <c r="H367" s="573"/>
    </row>
    <row r="368" customFormat="false" ht="21" hidden="false" customHeight="true" outlineLevel="0" collapsed="false">
      <c r="B368" s="572"/>
      <c r="C368" s="573"/>
      <c r="D368" s="573"/>
      <c r="E368" s="571"/>
      <c r="F368" s="571"/>
      <c r="G368" s="573"/>
      <c r="H368" s="573"/>
    </row>
    <row r="369" customFormat="false" ht="21" hidden="false" customHeight="true" outlineLevel="0" collapsed="false">
      <c r="B369" s="572"/>
      <c r="C369" s="573"/>
      <c r="D369" s="573"/>
      <c r="E369" s="571"/>
      <c r="F369" s="571"/>
      <c r="G369" s="573"/>
      <c r="H369" s="573"/>
    </row>
    <row r="370" customFormat="false" ht="21" hidden="false" customHeight="true" outlineLevel="0" collapsed="false">
      <c r="B370" s="572"/>
      <c r="C370" s="573"/>
      <c r="D370" s="573"/>
      <c r="E370" s="571"/>
      <c r="F370" s="571"/>
      <c r="G370" s="573"/>
      <c r="H370" s="573"/>
    </row>
    <row r="371" customFormat="false" ht="21" hidden="false" customHeight="true" outlineLevel="0" collapsed="false">
      <c r="B371" s="572"/>
      <c r="C371" s="573"/>
      <c r="D371" s="573"/>
      <c r="E371" s="571"/>
      <c r="F371" s="571"/>
      <c r="G371" s="573"/>
      <c r="H371" s="573"/>
    </row>
    <row r="372" customFormat="false" ht="21" hidden="false" customHeight="true" outlineLevel="0" collapsed="false">
      <c r="B372" s="572"/>
      <c r="C372" s="573"/>
      <c r="D372" s="573"/>
      <c r="E372" s="571"/>
      <c r="F372" s="571"/>
      <c r="G372" s="573"/>
      <c r="H372" s="573"/>
    </row>
    <row r="373" customFormat="false" ht="21" hidden="false" customHeight="true" outlineLevel="0" collapsed="false">
      <c r="B373" s="572"/>
      <c r="C373" s="573"/>
      <c r="D373" s="573"/>
      <c r="E373" s="571"/>
      <c r="F373" s="571"/>
      <c r="G373" s="573"/>
      <c r="H373" s="573"/>
    </row>
    <row r="374" customFormat="false" ht="21" hidden="false" customHeight="true" outlineLevel="0" collapsed="false">
      <c r="B374" s="572"/>
      <c r="C374" s="573"/>
      <c r="D374" s="573"/>
      <c r="E374" s="571"/>
      <c r="F374" s="571"/>
      <c r="G374" s="573"/>
      <c r="H374" s="573"/>
    </row>
    <row r="375" customFormat="false" ht="21" hidden="false" customHeight="true" outlineLevel="0" collapsed="false">
      <c r="B375" s="572"/>
      <c r="C375" s="573"/>
      <c r="D375" s="573"/>
      <c r="E375" s="571"/>
      <c r="F375" s="571"/>
      <c r="G375" s="573"/>
      <c r="H375" s="573"/>
    </row>
    <row r="376" customFormat="false" ht="21" hidden="false" customHeight="true" outlineLevel="0" collapsed="false">
      <c r="B376" s="572"/>
      <c r="C376" s="573"/>
      <c r="D376" s="573"/>
      <c r="E376" s="571"/>
      <c r="F376" s="571"/>
      <c r="G376" s="573"/>
      <c r="H376" s="573"/>
    </row>
    <row r="377" customFormat="false" ht="21" hidden="false" customHeight="true" outlineLevel="0" collapsed="false">
      <c r="B377" s="572"/>
      <c r="C377" s="573"/>
      <c r="D377" s="573"/>
      <c r="E377" s="571"/>
      <c r="F377" s="571"/>
      <c r="G377" s="573"/>
      <c r="H377" s="573"/>
    </row>
    <row r="378" customFormat="false" ht="21" hidden="false" customHeight="true" outlineLevel="0" collapsed="false">
      <c r="B378" s="572"/>
      <c r="C378" s="573"/>
      <c r="D378" s="573"/>
      <c r="E378" s="571"/>
      <c r="F378" s="571"/>
      <c r="G378" s="573"/>
      <c r="H378" s="573"/>
    </row>
    <row r="379" customFormat="false" ht="21" hidden="false" customHeight="true" outlineLevel="0" collapsed="false">
      <c r="B379" s="572"/>
      <c r="C379" s="573"/>
      <c r="D379" s="573"/>
      <c r="E379" s="571"/>
      <c r="F379" s="571"/>
      <c r="G379" s="573"/>
      <c r="H379" s="573"/>
    </row>
    <row r="380" customFormat="false" ht="21" hidden="false" customHeight="true" outlineLevel="0" collapsed="false">
      <c r="B380" s="572"/>
      <c r="C380" s="573"/>
      <c r="D380" s="573"/>
      <c r="E380" s="571"/>
      <c r="F380" s="571"/>
      <c r="G380" s="573"/>
      <c r="H380" s="573"/>
    </row>
    <row r="381" customFormat="false" ht="21" hidden="false" customHeight="true" outlineLevel="0" collapsed="false">
      <c r="B381" s="572"/>
      <c r="C381" s="573"/>
      <c r="D381" s="573"/>
      <c r="E381" s="571"/>
      <c r="F381" s="571"/>
      <c r="G381" s="573"/>
      <c r="H381" s="573"/>
    </row>
    <row r="382" customFormat="false" ht="21" hidden="false" customHeight="true" outlineLevel="0" collapsed="false">
      <c r="B382" s="572"/>
      <c r="C382" s="573"/>
      <c r="D382" s="573"/>
      <c r="E382" s="571"/>
      <c r="F382" s="571"/>
      <c r="G382" s="573"/>
      <c r="H382" s="573"/>
    </row>
    <row r="383" customFormat="false" ht="21" hidden="false" customHeight="true" outlineLevel="0" collapsed="false">
      <c r="B383" s="572"/>
      <c r="C383" s="573"/>
      <c r="D383" s="573"/>
      <c r="E383" s="571"/>
      <c r="F383" s="571"/>
      <c r="G383" s="573"/>
      <c r="H383" s="573"/>
    </row>
    <row r="384" customFormat="false" ht="21" hidden="false" customHeight="true" outlineLevel="0" collapsed="false">
      <c r="B384" s="572"/>
      <c r="C384" s="573"/>
      <c r="D384" s="573"/>
      <c r="E384" s="571"/>
      <c r="F384" s="571"/>
      <c r="G384" s="573"/>
      <c r="H384" s="573"/>
    </row>
    <row r="385" customFormat="false" ht="21" hidden="false" customHeight="true" outlineLevel="0" collapsed="false">
      <c r="B385" s="572"/>
      <c r="C385" s="573"/>
      <c r="D385" s="573"/>
      <c r="E385" s="571"/>
      <c r="F385" s="571"/>
      <c r="G385" s="573"/>
      <c r="H385" s="573"/>
    </row>
    <row r="386" customFormat="false" ht="21" hidden="false" customHeight="true" outlineLevel="0" collapsed="false">
      <c r="B386" s="572"/>
      <c r="C386" s="573"/>
      <c r="D386" s="573"/>
      <c r="E386" s="571"/>
      <c r="F386" s="571"/>
      <c r="G386" s="573"/>
      <c r="H386" s="573"/>
    </row>
    <row r="387" customFormat="false" ht="21" hidden="false" customHeight="true" outlineLevel="0" collapsed="false">
      <c r="B387" s="572"/>
      <c r="C387" s="573"/>
      <c r="D387" s="573"/>
      <c r="E387" s="571"/>
      <c r="F387" s="571"/>
      <c r="G387" s="573"/>
      <c r="H387" s="573"/>
    </row>
    <row r="388" customFormat="false" ht="21" hidden="false" customHeight="true" outlineLevel="0" collapsed="false">
      <c r="B388" s="572"/>
      <c r="C388" s="573"/>
      <c r="D388" s="573"/>
      <c r="E388" s="571"/>
      <c r="F388" s="571"/>
      <c r="G388" s="573"/>
      <c r="H388" s="573"/>
    </row>
    <row r="389" customFormat="false" ht="21" hidden="false" customHeight="true" outlineLevel="0" collapsed="false">
      <c r="B389" s="572"/>
      <c r="C389" s="573"/>
      <c r="D389" s="573"/>
      <c r="E389" s="571"/>
      <c r="F389" s="571"/>
      <c r="G389" s="573"/>
      <c r="H389" s="573"/>
    </row>
    <row r="390" customFormat="false" ht="21" hidden="false" customHeight="true" outlineLevel="0" collapsed="false">
      <c r="B390" s="572"/>
      <c r="C390" s="573"/>
      <c r="D390" s="573"/>
      <c r="E390" s="571"/>
      <c r="F390" s="571"/>
      <c r="G390" s="573"/>
      <c r="H390" s="573"/>
    </row>
    <row r="391" customFormat="false" ht="21" hidden="false" customHeight="true" outlineLevel="0" collapsed="false">
      <c r="B391" s="572"/>
      <c r="C391" s="573"/>
      <c r="D391" s="573"/>
      <c r="E391" s="571"/>
      <c r="F391" s="571"/>
      <c r="G391" s="573"/>
      <c r="H391" s="573"/>
    </row>
    <row r="392" customFormat="false" ht="21" hidden="false" customHeight="true" outlineLevel="0" collapsed="false">
      <c r="B392" s="572"/>
      <c r="C392" s="573"/>
      <c r="D392" s="573"/>
      <c r="E392" s="571"/>
      <c r="F392" s="571"/>
      <c r="G392" s="573"/>
      <c r="H392" s="573"/>
    </row>
    <row r="393" customFormat="false" ht="21" hidden="false" customHeight="true" outlineLevel="0" collapsed="false">
      <c r="B393" s="572"/>
      <c r="C393" s="573"/>
      <c r="D393" s="573"/>
      <c r="E393" s="571"/>
      <c r="F393" s="571"/>
      <c r="G393" s="573"/>
      <c r="H393" s="573"/>
    </row>
    <row r="394" customFormat="false" ht="21" hidden="false" customHeight="true" outlineLevel="0" collapsed="false">
      <c r="B394" s="572"/>
      <c r="C394" s="573"/>
      <c r="D394" s="573"/>
      <c r="E394" s="571"/>
      <c r="F394" s="571"/>
      <c r="G394" s="573"/>
      <c r="H394" s="573"/>
    </row>
    <row r="395" customFormat="false" ht="21" hidden="false" customHeight="true" outlineLevel="0" collapsed="false">
      <c r="B395" s="572"/>
      <c r="C395" s="573"/>
      <c r="D395" s="573"/>
      <c r="E395" s="571"/>
      <c r="F395" s="571"/>
      <c r="G395" s="573"/>
      <c r="H395" s="573"/>
    </row>
    <row r="396" customFormat="false" ht="21" hidden="false" customHeight="true" outlineLevel="0" collapsed="false">
      <c r="B396" s="572"/>
      <c r="C396" s="573"/>
      <c r="D396" s="573"/>
      <c r="E396" s="571"/>
      <c r="F396" s="571"/>
      <c r="G396" s="573"/>
      <c r="H396" s="573"/>
    </row>
    <row r="397" customFormat="false" ht="21" hidden="false" customHeight="true" outlineLevel="0" collapsed="false">
      <c r="B397" s="572"/>
      <c r="C397" s="573"/>
      <c r="D397" s="573"/>
      <c r="E397" s="571"/>
      <c r="F397" s="571"/>
      <c r="G397" s="573"/>
      <c r="H397" s="573"/>
    </row>
    <row r="398" customFormat="false" ht="21" hidden="false" customHeight="true" outlineLevel="0" collapsed="false">
      <c r="B398" s="572"/>
      <c r="C398" s="573"/>
      <c r="D398" s="573"/>
      <c r="E398" s="571"/>
      <c r="F398" s="571"/>
      <c r="G398" s="573"/>
      <c r="H398" s="573"/>
    </row>
    <row r="399" customFormat="false" ht="21" hidden="false" customHeight="true" outlineLevel="0" collapsed="false">
      <c r="B399" s="572"/>
      <c r="C399" s="573"/>
      <c r="D399" s="573"/>
      <c r="E399" s="571"/>
      <c r="F399" s="571"/>
      <c r="G399" s="573"/>
      <c r="H399" s="573"/>
    </row>
    <row r="400" customFormat="false" ht="21" hidden="false" customHeight="true" outlineLevel="0" collapsed="false">
      <c r="B400" s="572"/>
      <c r="C400" s="573"/>
      <c r="D400" s="573"/>
      <c r="E400" s="571"/>
      <c r="F400" s="571"/>
      <c r="G400" s="573"/>
      <c r="H400" s="573"/>
    </row>
    <row r="401" customFormat="false" ht="21" hidden="false" customHeight="true" outlineLevel="0" collapsed="false">
      <c r="B401" s="572"/>
      <c r="C401" s="573"/>
      <c r="D401" s="573"/>
      <c r="E401" s="571"/>
      <c r="F401" s="571"/>
      <c r="G401" s="573"/>
      <c r="H401" s="573"/>
    </row>
    <row r="402" customFormat="false" ht="21" hidden="false" customHeight="true" outlineLevel="0" collapsed="false">
      <c r="B402" s="572"/>
      <c r="C402" s="573"/>
      <c r="D402" s="573"/>
      <c r="E402" s="571"/>
      <c r="F402" s="571"/>
      <c r="G402" s="573"/>
      <c r="H402" s="573"/>
    </row>
    <row r="403" customFormat="false" ht="21" hidden="false" customHeight="true" outlineLevel="0" collapsed="false">
      <c r="B403" s="572"/>
      <c r="C403" s="573"/>
      <c r="D403" s="573"/>
      <c r="E403" s="571"/>
      <c r="F403" s="571"/>
      <c r="G403" s="573"/>
      <c r="H403" s="573"/>
    </row>
    <row r="404" customFormat="false" ht="21" hidden="false" customHeight="true" outlineLevel="0" collapsed="false">
      <c r="B404" s="572"/>
      <c r="C404" s="573"/>
      <c r="D404" s="573"/>
      <c r="E404" s="571"/>
      <c r="F404" s="571"/>
      <c r="G404" s="573"/>
      <c r="H404" s="573"/>
    </row>
    <row r="405" customFormat="false" ht="21" hidden="false" customHeight="true" outlineLevel="0" collapsed="false">
      <c r="B405" s="572"/>
      <c r="C405" s="573"/>
      <c r="D405" s="573"/>
      <c r="E405" s="571"/>
      <c r="F405" s="571"/>
      <c r="G405" s="573"/>
      <c r="H405" s="573"/>
    </row>
    <row r="406" customFormat="false" ht="21" hidden="false" customHeight="true" outlineLevel="0" collapsed="false">
      <c r="B406" s="572"/>
      <c r="C406" s="573"/>
      <c r="D406" s="573"/>
      <c r="E406" s="571"/>
      <c r="F406" s="571"/>
      <c r="G406" s="573"/>
      <c r="H406" s="573"/>
    </row>
    <row r="407" customFormat="false" ht="21" hidden="false" customHeight="true" outlineLevel="0" collapsed="false">
      <c r="B407" s="572"/>
      <c r="C407" s="573"/>
      <c r="D407" s="573"/>
      <c r="E407" s="571"/>
      <c r="F407" s="571"/>
      <c r="G407" s="573"/>
      <c r="H407" s="573"/>
    </row>
    <row r="408" customFormat="false" ht="21" hidden="false" customHeight="true" outlineLevel="0" collapsed="false">
      <c r="B408" s="572"/>
      <c r="C408" s="573"/>
      <c r="D408" s="573"/>
      <c r="E408" s="571"/>
      <c r="F408" s="571"/>
      <c r="G408" s="573"/>
      <c r="H408" s="573"/>
    </row>
    <row r="409" customFormat="false" ht="21" hidden="false" customHeight="true" outlineLevel="0" collapsed="false">
      <c r="B409" s="572"/>
      <c r="C409" s="573"/>
      <c r="D409" s="573"/>
      <c r="E409" s="571"/>
      <c r="F409" s="571"/>
      <c r="G409" s="573"/>
      <c r="H409" s="573"/>
    </row>
    <row r="410" customFormat="false" ht="21" hidden="false" customHeight="true" outlineLevel="0" collapsed="false">
      <c r="B410" s="572"/>
      <c r="C410" s="573"/>
      <c r="D410" s="573"/>
      <c r="E410" s="571"/>
      <c r="F410" s="571"/>
      <c r="G410" s="573"/>
      <c r="H410" s="573"/>
    </row>
    <row r="411" customFormat="false" ht="21" hidden="false" customHeight="true" outlineLevel="0" collapsed="false">
      <c r="B411" s="572"/>
      <c r="C411" s="573"/>
      <c r="D411" s="573"/>
      <c r="E411" s="571"/>
      <c r="F411" s="571"/>
      <c r="G411" s="573"/>
      <c r="H411" s="573"/>
    </row>
    <row r="412" customFormat="false" ht="21" hidden="false" customHeight="true" outlineLevel="0" collapsed="false">
      <c r="B412" s="572"/>
      <c r="C412" s="573"/>
      <c r="D412" s="573"/>
      <c r="E412" s="571"/>
      <c r="F412" s="571"/>
      <c r="G412" s="573"/>
      <c r="H412" s="573"/>
    </row>
    <row r="413" customFormat="false" ht="21" hidden="false" customHeight="true" outlineLevel="0" collapsed="false">
      <c r="B413" s="572"/>
      <c r="C413" s="573"/>
      <c r="D413" s="573"/>
      <c r="E413" s="571"/>
      <c r="F413" s="571"/>
      <c r="G413" s="573"/>
      <c r="H413" s="573"/>
    </row>
    <row r="414" customFormat="false" ht="21" hidden="false" customHeight="true" outlineLevel="0" collapsed="false">
      <c r="B414" s="572"/>
      <c r="C414" s="573"/>
      <c r="D414" s="573"/>
      <c r="E414" s="571"/>
      <c r="F414" s="571"/>
      <c r="G414" s="573"/>
      <c r="H414" s="573"/>
    </row>
    <row r="415" customFormat="false" ht="21" hidden="false" customHeight="true" outlineLevel="0" collapsed="false">
      <c r="B415" s="572"/>
      <c r="C415" s="573"/>
      <c r="D415" s="573"/>
      <c r="E415" s="571"/>
      <c r="F415" s="571"/>
      <c r="G415" s="573"/>
      <c r="H415" s="573"/>
    </row>
    <row r="416" customFormat="false" ht="21" hidden="false" customHeight="true" outlineLevel="0" collapsed="false">
      <c r="B416" s="572"/>
      <c r="C416" s="573"/>
      <c r="D416" s="573"/>
      <c r="E416" s="571"/>
      <c r="F416" s="571"/>
      <c r="G416" s="573"/>
      <c r="H416" s="573"/>
    </row>
    <row r="417" customFormat="false" ht="21" hidden="false" customHeight="true" outlineLevel="0" collapsed="false">
      <c r="B417" s="572"/>
      <c r="C417" s="573"/>
      <c r="D417" s="573"/>
      <c r="E417" s="571"/>
      <c r="F417" s="571"/>
      <c r="G417" s="573"/>
      <c r="H417" s="573"/>
    </row>
    <row r="418" customFormat="false" ht="21" hidden="false" customHeight="true" outlineLevel="0" collapsed="false">
      <c r="B418" s="572"/>
      <c r="C418" s="573"/>
      <c r="D418" s="573"/>
      <c r="E418" s="571"/>
      <c r="F418" s="571"/>
      <c r="G418" s="573"/>
      <c r="H418" s="573"/>
    </row>
    <row r="419" customFormat="false" ht="21" hidden="false" customHeight="true" outlineLevel="0" collapsed="false">
      <c r="B419" s="572"/>
      <c r="C419" s="573"/>
      <c r="D419" s="573"/>
      <c r="E419" s="571"/>
      <c r="F419" s="571"/>
      <c r="G419" s="573"/>
      <c r="H419" s="573"/>
    </row>
    <row r="420" customFormat="false" ht="21" hidden="false" customHeight="true" outlineLevel="0" collapsed="false">
      <c r="B420" s="572"/>
      <c r="C420" s="573"/>
      <c r="D420" s="573"/>
      <c r="E420" s="571"/>
      <c r="F420" s="571"/>
      <c r="G420" s="573"/>
      <c r="H420" s="573"/>
    </row>
    <row r="421" customFormat="false" ht="21" hidden="false" customHeight="true" outlineLevel="0" collapsed="false">
      <c r="B421" s="572"/>
      <c r="C421" s="573"/>
      <c r="D421" s="573"/>
      <c r="E421" s="571"/>
      <c r="F421" s="571"/>
      <c r="G421" s="573"/>
      <c r="H421" s="573"/>
    </row>
    <row r="422" customFormat="false" ht="21" hidden="false" customHeight="true" outlineLevel="0" collapsed="false">
      <c r="B422" s="572"/>
      <c r="C422" s="573"/>
      <c r="D422" s="573"/>
      <c r="E422" s="571"/>
      <c r="F422" s="571"/>
      <c r="G422" s="573"/>
      <c r="H422" s="573"/>
    </row>
    <row r="423" customFormat="false" ht="21" hidden="false" customHeight="true" outlineLevel="0" collapsed="false">
      <c r="B423" s="572"/>
      <c r="C423" s="573"/>
      <c r="D423" s="573"/>
      <c r="E423" s="571"/>
      <c r="F423" s="571"/>
      <c r="G423" s="573"/>
      <c r="H423" s="573"/>
    </row>
    <row r="424" customFormat="false" ht="21" hidden="false" customHeight="true" outlineLevel="0" collapsed="false">
      <c r="B424" s="572"/>
      <c r="C424" s="573"/>
      <c r="D424" s="573"/>
      <c r="E424" s="571"/>
      <c r="F424" s="571"/>
      <c r="G424" s="573"/>
      <c r="H424" s="573"/>
    </row>
    <row r="425" customFormat="false" ht="21" hidden="false" customHeight="true" outlineLevel="0" collapsed="false">
      <c r="B425" s="572"/>
      <c r="C425" s="573"/>
      <c r="D425" s="573"/>
      <c r="E425" s="571"/>
      <c r="F425" s="571"/>
      <c r="G425" s="573"/>
      <c r="H425" s="573"/>
    </row>
    <row r="426" customFormat="false" ht="21" hidden="false" customHeight="true" outlineLevel="0" collapsed="false">
      <c r="B426" s="572"/>
      <c r="C426" s="573"/>
      <c r="D426" s="573"/>
      <c r="E426" s="571"/>
      <c r="F426" s="571"/>
      <c r="G426" s="573"/>
      <c r="H426" s="573"/>
    </row>
    <row r="427" customFormat="false" ht="21" hidden="false" customHeight="true" outlineLevel="0" collapsed="false">
      <c r="B427" s="572"/>
      <c r="C427" s="573"/>
      <c r="D427" s="573"/>
      <c r="E427" s="571"/>
      <c r="F427" s="571"/>
      <c r="G427" s="573"/>
      <c r="H427" s="573"/>
    </row>
    <row r="428" customFormat="false" ht="21" hidden="false" customHeight="true" outlineLevel="0" collapsed="false">
      <c r="B428" s="572"/>
      <c r="C428" s="573"/>
      <c r="D428" s="573"/>
      <c r="E428" s="571"/>
      <c r="F428" s="571"/>
      <c r="G428" s="573"/>
      <c r="H428" s="573"/>
    </row>
    <row r="429" customFormat="false" ht="21" hidden="false" customHeight="true" outlineLevel="0" collapsed="false">
      <c r="B429" s="572"/>
      <c r="C429" s="573"/>
      <c r="D429" s="573"/>
      <c r="E429" s="571"/>
      <c r="F429" s="571"/>
      <c r="G429" s="573"/>
      <c r="H429" s="573"/>
    </row>
    <row r="430" customFormat="false" ht="21" hidden="false" customHeight="true" outlineLevel="0" collapsed="false">
      <c r="B430" s="572"/>
      <c r="C430" s="573"/>
      <c r="D430" s="573"/>
      <c r="E430" s="571"/>
      <c r="F430" s="571"/>
      <c r="G430" s="573"/>
      <c r="H430" s="573"/>
    </row>
    <row r="431" customFormat="false" ht="21" hidden="false" customHeight="true" outlineLevel="0" collapsed="false">
      <c r="B431" s="572"/>
      <c r="C431" s="573"/>
      <c r="D431" s="573"/>
      <c r="E431" s="571"/>
      <c r="F431" s="571"/>
      <c r="G431" s="573"/>
      <c r="H431" s="573"/>
    </row>
    <row r="432" customFormat="false" ht="21" hidden="false" customHeight="true" outlineLevel="0" collapsed="false">
      <c r="B432" s="572"/>
      <c r="C432" s="573"/>
      <c r="D432" s="573"/>
      <c r="E432" s="571"/>
      <c r="F432" s="571"/>
      <c r="G432" s="573"/>
      <c r="H432" s="573"/>
    </row>
    <row r="433" customFormat="false" ht="21" hidden="false" customHeight="true" outlineLevel="0" collapsed="false">
      <c r="B433" s="572"/>
      <c r="C433" s="573"/>
      <c r="D433" s="573"/>
      <c r="E433" s="571"/>
      <c r="F433" s="571"/>
      <c r="G433" s="573"/>
      <c r="H433" s="573"/>
    </row>
    <row r="434" customFormat="false" ht="21" hidden="false" customHeight="true" outlineLevel="0" collapsed="false">
      <c r="B434" s="572"/>
      <c r="C434" s="573"/>
      <c r="D434" s="573"/>
      <c r="E434" s="571"/>
      <c r="F434" s="571"/>
      <c r="G434" s="573"/>
      <c r="H434" s="573"/>
    </row>
    <row r="435" customFormat="false" ht="21" hidden="false" customHeight="true" outlineLevel="0" collapsed="false">
      <c r="B435" s="572"/>
      <c r="C435" s="573"/>
      <c r="D435" s="573"/>
      <c r="E435" s="571"/>
      <c r="F435" s="571"/>
      <c r="G435" s="573"/>
      <c r="H435" s="573"/>
    </row>
    <row r="436" customFormat="false" ht="21" hidden="false" customHeight="true" outlineLevel="0" collapsed="false">
      <c r="B436" s="572"/>
      <c r="C436" s="573"/>
      <c r="D436" s="573"/>
      <c r="E436" s="571"/>
      <c r="F436" s="571"/>
      <c r="G436" s="573"/>
      <c r="H436" s="573"/>
    </row>
    <row r="437" customFormat="false" ht="21" hidden="false" customHeight="true" outlineLevel="0" collapsed="false">
      <c r="B437" s="572"/>
      <c r="C437" s="573"/>
      <c r="D437" s="573"/>
      <c r="E437" s="571"/>
      <c r="F437" s="571"/>
      <c r="G437" s="573"/>
      <c r="H437" s="573"/>
    </row>
    <row r="438" customFormat="false" ht="21" hidden="false" customHeight="true" outlineLevel="0" collapsed="false">
      <c r="B438" s="572"/>
      <c r="C438" s="573"/>
      <c r="D438" s="573"/>
      <c r="E438" s="571"/>
      <c r="F438" s="571"/>
      <c r="G438" s="573"/>
      <c r="H438" s="573"/>
    </row>
    <row r="439" customFormat="false" ht="21" hidden="false" customHeight="true" outlineLevel="0" collapsed="false">
      <c r="B439" s="572"/>
      <c r="C439" s="573"/>
      <c r="D439" s="573"/>
      <c r="E439" s="571"/>
      <c r="F439" s="571"/>
      <c r="G439" s="573"/>
      <c r="H439" s="573"/>
    </row>
    <row r="440" customFormat="false" ht="21" hidden="false" customHeight="true" outlineLevel="0" collapsed="false">
      <c r="B440" s="572"/>
      <c r="C440" s="573"/>
      <c r="D440" s="573"/>
      <c r="E440" s="571"/>
      <c r="F440" s="571"/>
      <c r="G440" s="573"/>
      <c r="H440" s="573"/>
    </row>
    <row r="441" customFormat="false" ht="21" hidden="false" customHeight="true" outlineLevel="0" collapsed="false">
      <c r="B441" s="572"/>
      <c r="C441" s="573"/>
      <c r="D441" s="573"/>
      <c r="E441" s="571"/>
      <c r="F441" s="571"/>
      <c r="G441" s="573"/>
      <c r="H441" s="573"/>
    </row>
    <row r="442" customFormat="false" ht="21" hidden="false" customHeight="true" outlineLevel="0" collapsed="false">
      <c r="B442" s="572"/>
      <c r="C442" s="573"/>
      <c r="D442" s="573"/>
      <c r="E442" s="571"/>
      <c r="F442" s="571"/>
      <c r="G442" s="573"/>
      <c r="H442" s="573"/>
    </row>
    <row r="443" customFormat="false" ht="21" hidden="false" customHeight="true" outlineLevel="0" collapsed="false">
      <c r="B443" s="572"/>
      <c r="C443" s="573"/>
      <c r="D443" s="573"/>
      <c r="E443" s="571"/>
      <c r="F443" s="571"/>
      <c r="G443" s="573"/>
      <c r="H443" s="573"/>
    </row>
    <row r="444" customFormat="false" ht="21" hidden="false" customHeight="true" outlineLevel="0" collapsed="false">
      <c r="B444" s="572"/>
      <c r="C444" s="573"/>
      <c r="D444" s="573"/>
      <c r="E444" s="571"/>
      <c r="F444" s="571"/>
      <c r="G444" s="573"/>
      <c r="H444" s="573"/>
    </row>
    <row r="445" customFormat="false" ht="21" hidden="false" customHeight="true" outlineLevel="0" collapsed="false">
      <c r="B445" s="572"/>
      <c r="C445" s="573"/>
      <c r="D445" s="573"/>
      <c r="E445" s="571"/>
      <c r="F445" s="571"/>
      <c r="G445" s="573"/>
      <c r="H445" s="573"/>
    </row>
    <row r="446" customFormat="false" ht="21" hidden="false" customHeight="true" outlineLevel="0" collapsed="false">
      <c r="B446" s="572"/>
      <c r="C446" s="573"/>
      <c r="D446" s="573"/>
      <c r="E446" s="571"/>
      <c r="F446" s="571"/>
      <c r="G446" s="573"/>
      <c r="H446" s="573"/>
    </row>
    <row r="447" customFormat="false" ht="21" hidden="false" customHeight="true" outlineLevel="0" collapsed="false">
      <c r="B447" s="572"/>
      <c r="C447" s="573"/>
      <c r="D447" s="573"/>
      <c r="E447" s="571"/>
      <c r="F447" s="571"/>
      <c r="G447" s="573"/>
      <c r="H447" s="573"/>
    </row>
    <row r="448" customFormat="false" ht="21" hidden="false" customHeight="true" outlineLevel="0" collapsed="false">
      <c r="B448" s="572"/>
      <c r="C448" s="573"/>
      <c r="D448" s="573"/>
      <c r="E448" s="571"/>
      <c r="F448" s="571"/>
      <c r="G448" s="573"/>
      <c r="H448" s="573"/>
    </row>
    <row r="449" customFormat="false" ht="21" hidden="false" customHeight="true" outlineLevel="0" collapsed="false">
      <c r="B449" s="572"/>
      <c r="C449" s="573"/>
      <c r="D449" s="573"/>
      <c r="E449" s="571"/>
      <c r="F449" s="571"/>
      <c r="G449" s="573"/>
      <c r="H449" s="573"/>
    </row>
    <row r="450" customFormat="false" ht="21" hidden="false" customHeight="true" outlineLevel="0" collapsed="false">
      <c r="B450" s="572"/>
      <c r="C450" s="573"/>
      <c r="D450" s="573"/>
      <c r="E450" s="571"/>
      <c r="F450" s="571"/>
      <c r="G450" s="573"/>
      <c r="H450" s="573"/>
    </row>
    <row r="451" customFormat="false" ht="21" hidden="false" customHeight="true" outlineLevel="0" collapsed="false">
      <c r="B451" s="572"/>
      <c r="C451" s="573"/>
      <c r="D451" s="573"/>
      <c r="E451" s="571"/>
      <c r="F451" s="571"/>
      <c r="G451" s="573"/>
      <c r="H451" s="573"/>
    </row>
    <row r="452" customFormat="false" ht="21" hidden="false" customHeight="true" outlineLevel="0" collapsed="false">
      <c r="B452" s="572"/>
      <c r="C452" s="573"/>
      <c r="D452" s="573"/>
      <c r="E452" s="571"/>
      <c r="F452" s="571"/>
      <c r="G452" s="573"/>
      <c r="H452" s="573"/>
    </row>
    <row r="453" customFormat="false" ht="21" hidden="false" customHeight="true" outlineLevel="0" collapsed="false">
      <c r="B453" s="572"/>
      <c r="C453" s="573"/>
      <c r="D453" s="573"/>
      <c r="E453" s="571"/>
      <c r="F453" s="571"/>
      <c r="G453" s="573"/>
      <c r="H453" s="573"/>
    </row>
    <row r="454" customFormat="false" ht="21" hidden="false" customHeight="true" outlineLevel="0" collapsed="false">
      <c r="B454" s="572"/>
      <c r="C454" s="573"/>
      <c r="D454" s="573"/>
      <c r="E454" s="571"/>
      <c r="F454" s="571"/>
      <c r="G454" s="573"/>
      <c r="H454" s="573"/>
    </row>
    <row r="455" customFormat="false" ht="21" hidden="false" customHeight="true" outlineLevel="0" collapsed="false">
      <c r="B455" s="572"/>
      <c r="C455" s="573"/>
      <c r="D455" s="573"/>
      <c r="E455" s="571"/>
      <c r="F455" s="571"/>
      <c r="G455" s="573"/>
      <c r="H455" s="573"/>
    </row>
    <row r="456" customFormat="false" ht="21" hidden="false" customHeight="true" outlineLevel="0" collapsed="false">
      <c r="B456" s="572"/>
      <c r="C456" s="573"/>
      <c r="D456" s="573"/>
      <c r="E456" s="571"/>
      <c r="F456" s="571"/>
      <c r="G456" s="573"/>
      <c r="H456" s="573"/>
    </row>
    <row r="457" customFormat="false" ht="21" hidden="false" customHeight="true" outlineLevel="0" collapsed="false">
      <c r="B457" s="572"/>
      <c r="C457" s="573"/>
      <c r="D457" s="573"/>
      <c r="E457" s="571"/>
      <c r="F457" s="571"/>
      <c r="G457" s="573"/>
      <c r="H457" s="573"/>
    </row>
    <row r="458" customFormat="false" ht="21" hidden="false" customHeight="true" outlineLevel="0" collapsed="false">
      <c r="B458" s="572"/>
      <c r="C458" s="573"/>
      <c r="D458" s="573"/>
      <c r="E458" s="571"/>
      <c r="F458" s="571"/>
      <c r="G458" s="573"/>
      <c r="H458" s="573"/>
    </row>
    <row r="459" customFormat="false" ht="21" hidden="false" customHeight="true" outlineLevel="0" collapsed="false">
      <c r="B459" s="572"/>
      <c r="C459" s="573"/>
      <c r="D459" s="573"/>
      <c r="E459" s="571"/>
      <c r="F459" s="571"/>
      <c r="G459" s="573"/>
      <c r="H459" s="573"/>
    </row>
    <row r="460" customFormat="false" ht="21" hidden="false" customHeight="true" outlineLevel="0" collapsed="false">
      <c r="B460" s="572"/>
      <c r="C460" s="573"/>
      <c r="D460" s="573"/>
      <c r="E460" s="571"/>
      <c r="F460" s="571"/>
      <c r="G460" s="573"/>
      <c r="H460" s="573"/>
    </row>
    <row r="461" customFormat="false" ht="21" hidden="false" customHeight="true" outlineLevel="0" collapsed="false">
      <c r="B461" s="572"/>
      <c r="C461" s="573"/>
      <c r="D461" s="573"/>
      <c r="E461" s="571"/>
      <c r="F461" s="571"/>
      <c r="G461" s="573"/>
      <c r="H461" s="573"/>
    </row>
    <row r="462" customFormat="false" ht="21" hidden="false" customHeight="true" outlineLevel="0" collapsed="false">
      <c r="B462" s="572"/>
      <c r="C462" s="573"/>
      <c r="D462" s="573"/>
      <c r="E462" s="571"/>
      <c r="F462" s="571"/>
      <c r="G462" s="573"/>
      <c r="H462" s="573"/>
    </row>
    <row r="463" customFormat="false" ht="21" hidden="false" customHeight="true" outlineLevel="0" collapsed="false">
      <c r="B463" s="572"/>
      <c r="C463" s="573"/>
      <c r="D463" s="573"/>
      <c r="E463" s="571"/>
      <c r="F463" s="571"/>
      <c r="G463" s="573"/>
      <c r="H463" s="573"/>
    </row>
    <row r="464" customFormat="false" ht="21" hidden="false" customHeight="true" outlineLevel="0" collapsed="false">
      <c r="B464" s="572"/>
      <c r="C464" s="573"/>
      <c r="D464" s="573"/>
      <c r="E464" s="571"/>
      <c r="F464" s="571"/>
      <c r="G464" s="573"/>
      <c r="H464" s="573"/>
    </row>
    <row r="465" customFormat="false" ht="21" hidden="false" customHeight="true" outlineLevel="0" collapsed="false">
      <c r="B465" s="572"/>
      <c r="C465" s="573"/>
      <c r="D465" s="573"/>
      <c r="E465" s="571"/>
      <c r="F465" s="571"/>
      <c r="G465" s="573"/>
      <c r="H465" s="573"/>
    </row>
    <row r="466" customFormat="false" ht="21" hidden="false" customHeight="true" outlineLevel="0" collapsed="false">
      <c r="B466" s="572"/>
      <c r="C466" s="573"/>
      <c r="D466" s="573"/>
      <c r="E466" s="571"/>
      <c r="F466" s="571"/>
      <c r="G466" s="573"/>
      <c r="H466" s="573"/>
    </row>
    <row r="467" customFormat="false" ht="21" hidden="false" customHeight="true" outlineLevel="0" collapsed="false">
      <c r="B467" s="572"/>
      <c r="C467" s="573"/>
      <c r="D467" s="573"/>
      <c r="E467" s="571"/>
      <c r="F467" s="571"/>
      <c r="G467" s="573"/>
      <c r="H467" s="573"/>
    </row>
    <row r="468" customFormat="false" ht="21" hidden="false" customHeight="true" outlineLevel="0" collapsed="false">
      <c r="B468" s="572"/>
      <c r="C468" s="573"/>
      <c r="D468" s="573"/>
      <c r="E468" s="571"/>
      <c r="F468" s="571"/>
      <c r="G468" s="573"/>
      <c r="H468" s="573"/>
    </row>
    <row r="469" customFormat="false" ht="21" hidden="false" customHeight="true" outlineLevel="0" collapsed="false">
      <c r="B469" s="572"/>
      <c r="C469" s="573"/>
      <c r="D469" s="573"/>
      <c r="E469" s="571"/>
      <c r="F469" s="571"/>
      <c r="G469" s="573"/>
      <c r="H469" s="573"/>
    </row>
    <row r="470" customFormat="false" ht="21" hidden="false" customHeight="true" outlineLevel="0" collapsed="false">
      <c r="B470" s="572"/>
      <c r="C470" s="573"/>
      <c r="D470" s="573"/>
      <c r="E470" s="571"/>
      <c r="F470" s="571"/>
      <c r="G470" s="573"/>
      <c r="H470" s="573"/>
    </row>
    <row r="471" customFormat="false" ht="21" hidden="false" customHeight="true" outlineLevel="0" collapsed="false">
      <c r="B471" s="572"/>
      <c r="C471" s="573"/>
      <c r="D471" s="573"/>
      <c r="E471" s="571"/>
      <c r="F471" s="571"/>
      <c r="G471" s="573"/>
      <c r="H471" s="573"/>
    </row>
    <row r="472" customFormat="false" ht="21" hidden="false" customHeight="true" outlineLevel="0" collapsed="false">
      <c r="B472" s="572"/>
      <c r="C472" s="573"/>
      <c r="D472" s="573"/>
      <c r="E472" s="571"/>
      <c r="F472" s="571"/>
      <c r="G472" s="573"/>
      <c r="H472" s="573"/>
    </row>
    <row r="473" customFormat="false" ht="21" hidden="false" customHeight="true" outlineLevel="0" collapsed="false">
      <c r="B473" s="572"/>
      <c r="C473" s="573"/>
      <c r="D473" s="573"/>
      <c r="E473" s="571"/>
      <c r="F473" s="571"/>
      <c r="G473" s="573"/>
      <c r="H473" s="573"/>
    </row>
    <row r="474" customFormat="false" ht="21" hidden="false" customHeight="true" outlineLevel="0" collapsed="false">
      <c r="B474" s="572"/>
      <c r="C474" s="573"/>
      <c r="D474" s="573"/>
      <c r="E474" s="571"/>
      <c r="F474" s="571"/>
      <c r="G474" s="573"/>
      <c r="H474" s="573"/>
    </row>
    <row r="475" customFormat="false" ht="21" hidden="false" customHeight="true" outlineLevel="0" collapsed="false">
      <c r="B475" s="572"/>
      <c r="C475" s="573"/>
      <c r="D475" s="573"/>
      <c r="E475" s="571"/>
      <c r="F475" s="571"/>
      <c r="G475" s="573"/>
      <c r="H475" s="573"/>
    </row>
    <row r="476" customFormat="false" ht="21" hidden="false" customHeight="true" outlineLevel="0" collapsed="false">
      <c r="B476" s="572"/>
      <c r="C476" s="573"/>
      <c r="D476" s="573"/>
      <c r="E476" s="571"/>
      <c r="F476" s="571"/>
      <c r="G476" s="573"/>
      <c r="H476" s="573"/>
    </row>
    <row r="477" customFormat="false" ht="21" hidden="false" customHeight="true" outlineLevel="0" collapsed="false">
      <c r="B477" s="572"/>
      <c r="C477" s="573"/>
      <c r="D477" s="573"/>
      <c r="E477" s="571"/>
      <c r="F477" s="571"/>
      <c r="G477" s="573"/>
      <c r="H477" s="573"/>
    </row>
    <row r="478" customFormat="false" ht="21" hidden="false" customHeight="true" outlineLevel="0" collapsed="false">
      <c r="B478" s="572"/>
      <c r="C478" s="573"/>
      <c r="D478" s="573"/>
      <c r="E478" s="571"/>
      <c r="F478" s="571"/>
      <c r="G478" s="573"/>
      <c r="H478" s="573"/>
    </row>
    <row r="479" customFormat="false" ht="21" hidden="false" customHeight="true" outlineLevel="0" collapsed="false">
      <c r="B479" s="572"/>
      <c r="C479" s="573"/>
      <c r="D479" s="573"/>
      <c r="E479" s="571"/>
      <c r="F479" s="571"/>
      <c r="G479" s="573"/>
      <c r="H479" s="573"/>
    </row>
    <row r="480" customFormat="false" ht="21" hidden="false" customHeight="true" outlineLevel="0" collapsed="false">
      <c r="B480" s="572"/>
      <c r="C480" s="573"/>
      <c r="D480" s="573"/>
      <c r="E480" s="571"/>
      <c r="F480" s="571"/>
      <c r="G480" s="573"/>
      <c r="H480" s="573"/>
    </row>
    <row r="481" customFormat="false" ht="21" hidden="false" customHeight="true" outlineLevel="0" collapsed="false">
      <c r="B481" s="572"/>
      <c r="C481" s="573"/>
      <c r="D481" s="573"/>
      <c r="E481" s="571"/>
      <c r="F481" s="571"/>
      <c r="G481" s="573"/>
      <c r="H481" s="573"/>
    </row>
    <row r="482" customFormat="false" ht="21" hidden="false" customHeight="true" outlineLevel="0" collapsed="false">
      <c r="B482" s="572"/>
      <c r="C482" s="573"/>
      <c r="D482" s="573"/>
      <c r="E482" s="571"/>
      <c r="F482" s="571"/>
      <c r="G482" s="573"/>
      <c r="H482" s="573"/>
    </row>
    <row r="483" customFormat="false" ht="21" hidden="false" customHeight="true" outlineLevel="0" collapsed="false">
      <c r="B483" s="572"/>
      <c r="C483" s="573"/>
      <c r="D483" s="573"/>
      <c r="E483" s="571"/>
      <c r="F483" s="571"/>
      <c r="G483" s="573"/>
      <c r="H483" s="573"/>
    </row>
    <row r="484" customFormat="false" ht="21" hidden="false" customHeight="true" outlineLevel="0" collapsed="false">
      <c r="B484" s="572"/>
      <c r="C484" s="573"/>
      <c r="D484" s="573"/>
      <c r="E484" s="571"/>
      <c r="F484" s="571"/>
      <c r="G484" s="573"/>
      <c r="H484" s="573"/>
    </row>
    <row r="485" customFormat="false" ht="21" hidden="false" customHeight="true" outlineLevel="0" collapsed="false">
      <c r="B485" s="572"/>
      <c r="C485" s="573"/>
      <c r="D485" s="573"/>
      <c r="E485" s="571"/>
      <c r="F485" s="571"/>
      <c r="G485" s="573"/>
      <c r="H485" s="573"/>
    </row>
    <row r="486" customFormat="false" ht="21" hidden="false" customHeight="true" outlineLevel="0" collapsed="false">
      <c r="B486" s="572"/>
      <c r="C486" s="573"/>
      <c r="D486" s="573"/>
      <c r="E486" s="571"/>
      <c r="F486" s="571"/>
      <c r="G486" s="573"/>
      <c r="H486" s="573"/>
    </row>
    <row r="487" customFormat="false" ht="21" hidden="false" customHeight="true" outlineLevel="0" collapsed="false">
      <c r="B487" s="572"/>
      <c r="C487" s="573"/>
      <c r="D487" s="573"/>
      <c r="E487" s="571"/>
      <c r="F487" s="571"/>
      <c r="G487" s="573"/>
      <c r="H487" s="573"/>
    </row>
    <row r="488" customFormat="false" ht="21" hidden="false" customHeight="true" outlineLevel="0" collapsed="false">
      <c r="B488" s="572"/>
      <c r="C488" s="573"/>
      <c r="D488" s="573"/>
      <c r="E488" s="571"/>
      <c r="F488" s="571"/>
      <c r="G488" s="573"/>
      <c r="H488" s="573"/>
    </row>
    <row r="489" customFormat="false" ht="21" hidden="false" customHeight="true" outlineLevel="0" collapsed="false">
      <c r="B489" s="572"/>
      <c r="C489" s="573"/>
      <c r="D489" s="573"/>
      <c r="E489" s="571"/>
      <c r="F489" s="571"/>
      <c r="G489" s="573"/>
      <c r="H489" s="573"/>
    </row>
    <row r="490" customFormat="false" ht="21" hidden="false" customHeight="true" outlineLevel="0" collapsed="false">
      <c r="B490" s="572"/>
      <c r="C490" s="573"/>
      <c r="D490" s="573"/>
      <c r="E490" s="571"/>
      <c r="F490" s="571"/>
      <c r="G490" s="573"/>
      <c r="H490" s="573"/>
    </row>
    <row r="491" customFormat="false" ht="21" hidden="false" customHeight="true" outlineLevel="0" collapsed="false">
      <c r="B491" s="572"/>
      <c r="C491" s="573"/>
      <c r="D491" s="573"/>
      <c r="E491" s="571"/>
      <c r="F491" s="571"/>
      <c r="G491" s="573"/>
      <c r="H491" s="573"/>
    </row>
    <row r="492" customFormat="false" ht="21" hidden="false" customHeight="true" outlineLevel="0" collapsed="false">
      <c r="B492" s="572"/>
      <c r="C492" s="573"/>
      <c r="D492" s="573"/>
      <c r="E492" s="571"/>
      <c r="F492" s="571"/>
      <c r="G492" s="573"/>
      <c r="H492" s="573"/>
    </row>
    <row r="493" customFormat="false" ht="21" hidden="false" customHeight="true" outlineLevel="0" collapsed="false">
      <c r="B493" s="572"/>
      <c r="C493" s="573"/>
      <c r="D493" s="573"/>
      <c r="E493" s="571"/>
      <c r="F493" s="571"/>
      <c r="G493" s="573"/>
      <c r="H493" s="573"/>
    </row>
    <row r="494" customFormat="false" ht="21" hidden="false" customHeight="true" outlineLevel="0" collapsed="false">
      <c r="B494" s="572"/>
      <c r="C494" s="573"/>
      <c r="D494" s="573"/>
      <c r="E494" s="571"/>
      <c r="F494" s="571"/>
      <c r="G494" s="573"/>
      <c r="H494" s="573"/>
    </row>
    <row r="495" customFormat="false" ht="21" hidden="false" customHeight="true" outlineLevel="0" collapsed="false">
      <c r="B495" s="572"/>
      <c r="C495" s="573"/>
      <c r="D495" s="573"/>
      <c r="E495" s="571"/>
      <c r="F495" s="571"/>
      <c r="G495" s="573"/>
      <c r="H495" s="573"/>
    </row>
    <row r="496" customFormat="false" ht="21" hidden="false" customHeight="true" outlineLevel="0" collapsed="false">
      <c r="B496" s="572"/>
      <c r="C496" s="573"/>
      <c r="D496" s="573"/>
      <c r="E496" s="571"/>
      <c r="F496" s="571"/>
      <c r="G496" s="573"/>
      <c r="H496" s="573"/>
    </row>
    <row r="497" customFormat="false" ht="21" hidden="false" customHeight="true" outlineLevel="0" collapsed="false">
      <c r="B497" s="572"/>
      <c r="C497" s="573"/>
      <c r="D497" s="573"/>
      <c r="E497" s="571"/>
      <c r="F497" s="571"/>
      <c r="G497" s="573"/>
      <c r="H497" s="573"/>
    </row>
    <row r="498" customFormat="false" ht="21" hidden="false" customHeight="true" outlineLevel="0" collapsed="false">
      <c r="B498" s="572"/>
      <c r="C498" s="573"/>
      <c r="D498" s="573"/>
      <c r="E498" s="571"/>
      <c r="F498" s="571"/>
      <c r="G498" s="573"/>
      <c r="H498" s="573"/>
    </row>
    <row r="499" customFormat="false" ht="21" hidden="false" customHeight="true" outlineLevel="0" collapsed="false">
      <c r="B499" s="572"/>
      <c r="C499" s="573"/>
      <c r="D499" s="573"/>
      <c r="E499" s="571"/>
      <c r="F499" s="571"/>
      <c r="G499" s="573"/>
      <c r="H499" s="573"/>
    </row>
    <row r="500" customFormat="false" ht="21" hidden="false" customHeight="true" outlineLevel="0" collapsed="false">
      <c r="B500" s="572"/>
      <c r="C500" s="573"/>
      <c r="D500" s="573"/>
      <c r="E500" s="571"/>
      <c r="F500" s="571"/>
      <c r="G500" s="573"/>
      <c r="H500" s="573"/>
    </row>
    <row r="501" customFormat="false" ht="21" hidden="false" customHeight="true" outlineLevel="0" collapsed="false">
      <c r="B501" s="572"/>
      <c r="C501" s="573"/>
      <c r="D501" s="573"/>
      <c r="E501" s="571"/>
      <c r="F501" s="571"/>
      <c r="G501" s="573"/>
      <c r="H501" s="573"/>
    </row>
    <row r="502" customFormat="false" ht="21" hidden="false" customHeight="true" outlineLevel="0" collapsed="false">
      <c r="B502" s="572"/>
      <c r="C502" s="573"/>
      <c r="D502" s="573"/>
      <c r="E502" s="571"/>
      <c r="F502" s="571"/>
      <c r="G502" s="573"/>
      <c r="H502" s="573"/>
    </row>
    <row r="503" customFormat="false" ht="21" hidden="false" customHeight="true" outlineLevel="0" collapsed="false">
      <c r="B503" s="572"/>
      <c r="C503" s="573"/>
      <c r="D503" s="573"/>
      <c r="E503" s="571"/>
      <c r="F503" s="571"/>
      <c r="G503" s="573"/>
      <c r="H503" s="573"/>
    </row>
    <row r="504" customFormat="false" ht="21" hidden="false" customHeight="true" outlineLevel="0" collapsed="false">
      <c r="B504" s="572"/>
      <c r="C504" s="573"/>
      <c r="D504" s="573"/>
      <c r="E504" s="571"/>
      <c r="F504" s="571"/>
      <c r="G504" s="573"/>
      <c r="H504" s="573"/>
    </row>
    <row r="505" customFormat="false" ht="21" hidden="false" customHeight="true" outlineLevel="0" collapsed="false">
      <c r="B505" s="572"/>
      <c r="C505" s="573"/>
      <c r="D505" s="573"/>
      <c r="E505" s="571"/>
      <c r="F505" s="571"/>
      <c r="G505" s="573"/>
      <c r="H505" s="573"/>
    </row>
    <row r="506" customFormat="false" ht="21" hidden="false" customHeight="true" outlineLevel="0" collapsed="false">
      <c r="B506" s="572"/>
      <c r="C506" s="573"/>
      <c r="D506" s="573"/>
      <c r="E506" s="571"/>
      <c r="F506" s="571"/>
      <c r="G506" s="573"/>
      <c r="H506" s="573"/>
    </row>
    <row r="507" customFormat="false" ht="21" hidden="false" customHeight="true" outlineLevel="0" collapsed="false">
      <c r="B507" s="572"/>
      <c r="C507" s="573"/>
      <c r="D507" s="573"/>
      <c r="E507" s="571"/>
      <c r="F507" s="571"/>
      <c r="G507" s="573"/>
      <c r="H507" s="573"/>
    </row>
    <row r="508" customFormat="false" ht="21" hidden="false" customHeight="true" outlineLevel="0" collapsed="false">
      <c r="B508" s="572"/>
      <c r="C508" s="573"/>
      <c r="D508" s="573"/>
      <c r="E508" s="571"/>
      <c r="F508" s="571"/>
      <c r="G508" s="573"/>
      <c r="H508" s="573"/>
    </row>
    <row r="509" customFormat="false" ht="21" hidden="false" customHeight="true" outlineLevel="0" collapsed="false">
      <c r="B509" s="572"/>
      <c r="C509" s="573"/>
      <c r="D509" s="573"/>
      <c r="E509" s="571"/>
      <c r="F509" s="571"/>
      <c r="G509" s="573"/>
      <c r="H509" s="573"/>
    </row>
    <row r="510" customFormat="false" ht="21" hidden="false" customHeight="true" outlineLevel="0" collapsed="false">
      <c r="B510" s="572"/>
      <c r="C510" s="573"/>
      <c r="D510" s="573"/>
      <c r="E510" s="571"/>
      <c r="F510" s="571"/>
      <c r="G510" s="573"/>
      <c r="H510" s="573"/>
    </row>
    <row r="511" customFormat="false" ht="21" hidden="false" customHeight="true" outlineLevel="0" collapsed="false">
      <c r="B511" s="572"/>
      <c r="C511" s="573"/>
      <c r="D511" s="573"/>
      <c r="E511" s="571"/>
      <c r="F511" s="571"/>
      <c r="G511" s="573"/>
      <c r="H511" s="573"/>
    </row>
    <row r="512" customFormat="false" ht="21" hidden="false" customHeight="true" outlineLevel="0" collapsed="false">
      <c r="B512" s="572"/>
      <c r="C512" s="573"/>
      <c r="D512" s="573"/>
      <c r="E512" s="571"/>
      <c r="F512" s="571"/>
      <c r="G512" s="573"/>
      <c r="H512" s="573"/>
    </row>
    <row r="513" customFormat="false" ht="21" hidden="false" customHeight="true" outlineLevel="0" collapsed="false">
      <c r="B513" s="572"/>
      <c r="C513" s="573"/>
      <c r="D513" s="573"/>
      <c r="E513" s="571"/>
      <c r="F513" s="571"/>
      <c r="G513" s="573"/>
      <c r="H513" s="573"/>
    </row>
    <row r="514" customFormat="false" ht="21" hidden="false" customHeight="true" outlineLevel="0" collapsed="false">
      <c r="B514" s="572"/>
      <c r="C514" s="573"/>
      <c r="D514" s="573"/>
      <c r="E514" s="571"/>
      <c r="F514" s="571"/>
      <c r="G514" s="573"/>
      <c r="H514" s="573"/>
    </row>
    <row r="515" customFormat="false" ht="21" hidden="false" customHeight="true" outlineLevel="0" collapsed="false">
      <c r="B515" s="572"/>
      <c r="C515" s="573"/>
      <c r="D515" s="573"/>
      <c r="E515" s="571"/>
      <c r="F515" s="571"/>
      <c r="G515" s="573"/>
      <c r="H515" s="573"/>
    </row>
    <row r="516" customFormat="false" ht="21" hidden="false" customHeight="true" outlineLevel="0" collapsed="false">
      <c r="B516" s="572"/>
      <c r="C516" s="573"/>
      <c r="D516" s="573"/>
      <c r="E516" s="571"/>
      <c r="F516" s="571"/>
      <c r="G516" s="573"/>
      <c r="H516" s="573"/>
    </row>
    <row r="517" customFormat="false" ht="21" hidden="false" customHeight="true" outlineLevel="0" collapsed="false">
      <c r="B517" s="572"/>
      <c r="C517" s="573"/>
      <c r="D517" s="573"/>
      <c r="E517" s="571"/>
      <c r="F517" s="571"/>
      <c r="G517" s="573"/>
      <c r="H517" s="573"/>
    </row>
    <row r="518" customFormat="false" ht="21" hidden="false" customHeight="true" outlineLevel="0" collapsed="false">
      <c r="B518" s="572"/>
      <c r="C518" s="573"/>
      <c r="D518" s="573"/>
      <c r="E518" s="571"/>
      <c r="F518" s="571"/>
      <c r="G518" s="573"/>
      <c r="H518" s="573"/>
    </row>
    <row r="519" customFormat="false" ht="21" hidden="false" customHeight="true" outlineLevel="0" collapsed="false">
      <c r="B519" s="572"/>
      <c r="C519" s="573"/>
      <c r="D519" s="573"/>
      <c r="E519" s="571"/>
      <c r="F519" s="571"/>
      <c r="G519" s="573"/>
      <c r="H519" s="573"/>
    </row>
    <row r="520" customFormat="false" ht="21" hidden="false" customHeight="true" outlineLevel="0" collapsed="false">
      <c r="B520" s="572"/>
      <c r="C520" s="573"/>
      <c r="D520" s="573"/>
      <c r="E520" s="571"/>
      <c r="F520" s="571"/>
      <c r="G520" s="573"/>
      <c r="H520" s="573"/>
    </row>
    <row r="521" customFormat="false" ht="21" hidden="false" customHeight="true" outlineLevel="0" collapsed="false">
      <c r="B521" s="572"/>
      <c r="C521" s="573"/>
      <c r="D521" s="573"/>
      <c r="E521" s="571"/>
      <c r="F521" s="571"/>
      <c r="G521" s="573"/>
      <c r="H521" s="573"/>
    </row>
    <row r="522" customFormat="false" ht="21" hidden="false" customHeight="true" outlineLevel="0" collapsed="false">
      <c r="B522" s="572"/>
      <c r="C522" s="573"/>
      <c r="D522" s="573"/>
      <c r="E522" s="571"/>
      <c r="F522" s="571"/>
      <c r="G522" s="573"/>
      <c r="H522" s="573"/>
    </row>
    <row r="523" customFormat="false" ht="21" hidden="false" customHeight="true" outlineLevel="0" collapsed="false">
      <c r="B523" s="572"/>
      <c r="C523" s="573"/>
      <c r="D523" s="573"/>
      <c r="E523" s="571"/>
      <c r="F523" s="571"/>
      <c r="G523" s="573"/>
      <c r="H523" s="573"/>
    </row>
    <row r="524" customFormat="false" ht="21" hidden="false" customHeight="true" outlineLevel="0" collapsed="false">
      <c r="B524" s="572"/>
      <c r="C524" s="573"/>
      <c r="D524" s="573"/>
      <c r="E524" s="571"/>
      <c r="F524" s="571"/>
      <c r="G524" s="573"/>
      <c r="H524" s="573"/>
    </row>
    <row r="525" customFormat="false" ht="21" hidden="false" customHeight="true" outlineLevel="0" collapsed="false">
      <c r="B525" s="572"/>
      <c r="C525" s="573"/>
      <c r="D525" s="573"/>
      <c r="E525" s="571"/>
      <c r="F525" s="571"/>
      <c r="G525" s="573"/>
      <c r="H525" s="573"/>
    </row>
    <row r="526" customFormat="false" ht="21" hidden="false" customHeight="true" outlineLevel="0" collapsed="false">
      <c r="B526" s="572"/>
      <c r="C526" s="573"/>
      <c r="D526" s="573"/>
      <c r="E526" s="571"/>
      <c r="F526" s="571"/>
      <c r="G526" s="573"/>
      <c r="H526" s="573"/>
    </row>
    <row r="527" customFormat="false" ht="21" hidden="false" customHeight="true" outlineLevel="0" collapsed="false">
      <c r="B527" s="572"/>
      <c r="C527" s="573"/>
      <c r="D527" s="573"/>
      <c r="E527" s="571"/>
      <c r="F527" s="571"/>
      <c r="G527" s="573"/>
      <c r="H527" s="573"/>
    </row>
    <row r="528" customFormat="false" ht="21" hidden="false" customHeight="true" outlineLevel="0" collapsed="false">
      <c r="B528" s="572"/>
      <c r="C528" s="573"/>
      <c r="D528" s="573"/>
      <c r="E528" s="571"/>
      <c r="F528" s="571"/>
      <c r="G528" s="573"/>
      <c r="H528" s="573"/>
    </row>
    <row r="529" customFormat="false" ht="21" hidden="false" customHeight="true" outlineLevel="0" collapsed="false">
      <c r="B529" s="572"/>
      <c r="C529" s="573"/>
      <c r="D529" s="573"/>
      <c r="E529" s="571"/>
      <c r="F529" s="571"/>
      <c r="G529" s="573"/>
      <c r="H529" s="573"/>
    </row>
    <row r="530" customFormat="false" ht="21" hidden="false" customHeight="true" outlineLevel="0" collapsed="false">
      <c r="B530" s="572"/>
      <c r="C530" s="573"/>
      <c r="D530" s="573"/>
      <c r="E530" s="571"/>
      <c r="F530" s="571"/>
      <c r="G530" s="573"/>
      <c r="H530" s="573"/>
    </row>
    <row r="531" customFormat="false" ht="21" hidden="false" customHeight="true" outlineLevel="0" collapsed="false">
      <c r="B531" s="572"/>
      <c r="C531" s="573"/>
      <c r="D531" s="573"/>
      <c r="E531" s="571"/>
      <c r="F531" s="571"/>
      <c r="G531" s="573"/>
      <c r="H531" s="573"/>
    </row>
    <row r="532" customFormat="false" ht="21" hidden="false" customHeight="true" outlineLevel="0" collapsed="false">
      <c r="B532" s="572"/>
      <c r="C532" s="573"/>
      <c r="D532" s="573"/>
      <c r="E532" s="571"/>
      <c r="F532" s="571"/>
      <c r="G532" s="573"/>
      <c r="H532" s="573"/>
    </row>
    <row r="533" customFormat="false" ht="21" hidden="false" customHeight="true" outlineLevel="0" collapsed="false">
      <c r="B533" s="572"/>
      <c r="C533" s="573"/>
      <c r="D533" s="573"/>
      <c r="E533" s="571"/>
      <c r="F533" s="571"/>
      <c r="G533" s="573"/>
      <c r="H533" s="573"/>
    </row>
    <row r="534" customFormat="false" ht="21" hidden="false" customHeight="true" outlineLevel="0" collapsed="false">
      <c r="B534" s="572"/>
      <c r="C534" s="573"/>
      <c r="D534" s="573"/>
      <c r="E534" s="571"/>
      <c r="F534" s="571"/>
      <c r="G534" s="573"/>
      <c r="H534" s="573"/>
    </row>
    <row r="535" customFormat="false" ht="21" hidden="false" customHeight="true" outlineLevel="0" collapsed="false">
      <c r="B535" s="572"/>
      <c r="C535" s="573"/>
      <c r="D535" s="573"/>
      <c r="E535" s="571"/>
      <c r="F535" s="571"/>
      <c r="G535" s="573"/>
      <c r="H535" s="573"/>
    </row>
    <row r="536" customFormat="false" ht="21" hidden="false" customHeight="true" outlineLevel="0" collapsed="false">
      <c r="B536" s="572"/>
      <c r="C536" s="573"/>
      <c r="D536" s="573"/>
      <c r="E536" s="571"/>
      <c r="F536" s="571"/>
      <c r="G536" s="573"/>
      <c r="H536" s="573"/>
    </row>
    <row r="537" customFormat="false" ht="21" hidden="false" customHeight="true" outlineLevel="0" collapsed="false">
      <c r="B537" s="572"/>
      <c r="C537" s="573"/>
      <c r="D537" s="573"/>
      <c r="E537" s="571"/>
      <c r="F537" s="571"/>
      <c r="G537" s="573"/>
      <c r="H537" s="573"/>
    </row>
    <row r="538" customFormat="false" ht="21" hidden="false" customHeight="true" outlineLevel="0" collapsed="false">
      <c r="B538" s="572"/>
      <c r="C538" s="573"/>
      <c r="D538" s="573"/>
      <c r="E538" s="571"/>
      <c r="F538" s="571"/>
      <c r="G538" s="573"/>
      <c r="H538" s="573"/>
    </row>
    <row r="539" customFormat="false" ht="21" hidden="false" customHeight="true" outlineLevel="0" collapsed="false">
      <c r="B539" s="572"/>
      <c r="C539" s="573"/>
      <c r="D539" s="573"/>
      <c r="E539" s="571"/>
      <c r="F539" s="571"/>
      <c r="G539" s="573"/>
      <c r="H539" s="573"/>
    </row>
    <row r="540" customFormat="false" ht="21" hidden="false" customHeight="true" outlineLevel="0" collapsed="false">
      <c r="B540" s="572"/>
      <c r="C540" s="573"/>
      <c r="D540" s="573"/>
      <c r="E540" s="571"/>
      <c r="F540" s="571"/>
      <c r="G540" s="573"/>
      <c r="H540" s="573"/>
    </row>
    <row r="541" customFormat="false" ht="21" hidden="false" customHeight="true" outlineLevel="0" collapsed="false">
      <c r="B541" s="572"/>
      <c r="C541" s="573"/>
      <c r="D541" s="573"/>
      <c r="E541" s="571"/>
      <c r="F541" s="571"/>
      <c r="G541" s="573"/>
      <c r="H541" s="573"/>
    </row>
    <row r="542" customFormat="false" ht="21" hidden="false" customHeight="true" outlineLevel="0" collapsed="false">
      <c r="B542" s="572"/>
      <c r="C542" s="573"/>
      <c r="D542" s="573"/>
      <c r="E542" s="571"/>
      <c r="F542" s="571"/>
      <c r="G542" s="573"/>
      <c r="H542" s="573"/>
    </row>
    <row r="543" customFormat="false" ht="21" hidden="false" customHeight="true" outlineLevel="0" collapsed="false">
      <c r="B543" s="572"/>
      <c r="C543" s="573"/>
      <c r="D543" s="573"/>
      <c r="E543" s="571"/>
      <c r="F543" s="571"/>
      <c r="G543" s="573"/>
      <c r="H543" s="573"/>
    </row>
    <row r="544" customFormat="false" ht="21" hidden="false" customHeight="true" outlineLevel="0" collapsed="false">
      <c r="B544" s="572"/>
      <c r="C544" s="573"/>
      <c r="D544" s="573"/>
      <c r="E544" s="571"/>
      <c r="F544" s="571"/>
      <c r="G544" s="573"/>
      <c r="H544" s="573"/>
    </row>
    <row r="545" customFormat="false" ht="21" hidden="false" customHeight="true" outlineLevel="0" collapsed="false">
      <c r="B545" s="572"/>
      <c r="C545" s="573"/>
      <c r="D545" s="573"/>
      <c r="E545" s="571"/>
      <c r="F545" s="571"/>
      <c r="G545" s="573"/>
      <c r="H545" s="573"/>
    </row>
    <row r="546" customFormat="false" ht="21" hidden="false" customHeight="true" outlineLevel="0" collapsed="false">
      <c r="B546" s="572"/>
      <c r="C546" s="573"/>
      <c r="D546" s="573"/>
      <c r="E546" s="571"/>
      <c r="F546" s="571"/>
      <c r="G546" s="573"/>
      <c r="H546" s="573"/>
    </row>
    <row r="547" customFormat="false" ht="21" hidden="false" customHeight="true" outlineLevel="0" collapsed="false">
      <c r="B547" s="572"/>
      <c r="C547" s="573"/>
      <c r="D547" s="573"/>
      <c r="E547" s="571"/>
      <c r="F547" s="571"/>
      <c r="G547" s="573"/>
      <c r="H547" s="573"/>
    </row>
    <row r="548" customFormat="false" ht="21" hidden="false" customHeight="true" outlineLevel="0" collapsed="false">
      <c r="B548" s="572"/>
      <c r="C548" s="573"/>
      <c r="D548" s="573"/>
      <c r="E548" s="571"/>
      <c r="F548" s="571"/>
      <c r="G548" s="573"/>
      <c r="H548" s="573"/>
    </row>
    <row r="549" customFormat="false" ht="21" hidden="false" customHeight="true" outlineLevel="0" collapsed="false">
      <c r="B549" s="572"/>
      <c r="C549" s="573"/>
      <c r="D549" s="573"/>
      <c r="E549" s="571"/>
      <c r="F549" s="571"/>
      <c r="G549" s="573"/>
      <c r="H549" s="573"/>
    </row>
    <row r="550" customFormat="false" ht="21" hidden="false" customHeight="true" outlineLevel="0" collapsed="false">
      <c r="B550" s="572"/>
      <c r="C550" s="573"/>
      <c r="D550" s="573"/>
      <c r="E550" s="571"/>
      <c r="F550" s="571"/>
      <c r="G550" s="573"/>
      <c r="H550" s="573"/>
    </row>
    <row r="551" customFormat="false" ht="21" hidden="false" customHeight="true" outlineLevel="0" collapsed="false">
      <c r="B551" s="572"/>
      <c r="C551" s="573"/>
      <c r="D551" s="573"/>
      <c r="E551" s="571"/>
      <c r="F551" s="571"/>
      <c r="G551" s="573"/>
      <c r="H551" s="573"/>
    </row>
    <row r="552" customFormat="false" ht="21" hidden="false" customHeight="true" outlineLevel="0" collapsed="false">
      <c r="B552" s="572"/>
      <c r="C552" s="573"/>
      <c r="D552" s="573"/>
      <c r="E552" s="571"/>
      <c r="F552" s="571"/>
      <c r="G552" s="573"/>
      <c r="H552" s="573"/>
    </row>
    <row r="553" customFormat="false" ht="21" hidden="false" customHeight="true" outlineLevel="0" collapsed="false">
      <c r="B553" s="572"/>
      <c r="C553" s="573"/>
      <c r="D553" s="573"/>
      <c r="E553" s="571"/>
      <c r="F553" s="571"/>
      <c r="G553" s="573"/>
      <c r="H553" s="573"/>
    </row>
    <row r="554" customFormat="false" ht="21" hidden="false" customHeight="true" outlineLevel="0" collapsed="false">
      <c r="B554" s="572"/>
      <c r="C554" s="573"/>
      <c r="D554" s="573"/>
      <c r="E554" s="571"/>
      <c r="F554" s="571"/>
      <c r="G554" s="573"/>
      <c r="H554" s="573"/>
    </row>
    <row r="555" customFormat="false" ht="21" hidden="false" customHeight="true" outlineLevel="0" collapsed="false">
      <c r="B555" s="572"/>
      <c r="C555" s="573"/>
      <c r="D555" s="573"/>
      <c r="E555" s="571"/>
      <c r="F555" s="571"/>
      <c r="G555" s="573"/>
      <c r="H555" s="573"/>
    </row>
    <row r="556" customFormat="false" ht="21" hidden="false" customHeight="true" outlineLevel="0" collapsed="false">
      <c r="B556" s="572"/>
      <c r="C556" s="573"/>
      <c r="D556" s="573"/>
      <c r="E556" s="571"/>
      <c r="F556" s="571"/>
      <c r="G556" s="573"/>
      <c r="H556" s="573"/>
    </row>
    <row r="557" customFormat="false" ht="21" hidden="false" customHeight="true" outlineLevel="0" collapsed="false">
      <c r="B557" s="572"/>
      <c r="C557" s="573"/>
      <c r="D557" s="573"/>
      <c r="E557" s="571"/>
      <c r="F557" s="571"/>
      <c r="G557" s="573"/>
      <c r="H557" s="573"/>
    </row>
    <row r="558" customFormat="false" ht="21" hidden="false" customHeight="true" outlineLevel="0" collapsed="false">
      <c r="B558" s="572"/>
      <c r="C558" s="573"/>
      <c r="D558" s="573"/>
      <c r="E558" s="571"/>
      <c r="F558" s="571"/>
      <c r="G558" s="573"/>
      <c r="H558" s="573"/>
    </row>
    <row r="559" customFormat="false" ht="21" hidden="false" customHeight="true" outlineLevel="0" collapsed="false">
      <c r="B559" s="572"/>
      <c r="C559" s="573"/>
      <c r="D559" s="573"/>
      <c r="E559" s="571"/>
      <c r="F559" s="571"/>
      <c r="G559" s="573"/>
      <c r="H559" s="573"/>
    </row>
    <row r="560" customFormat="false" ht="21" hidden="false" customHeight="true" outlineLevel="0" collapsed="false">
      <c r="B560" s="572"/>
      <c r="C560" s="573"/>
      <c r="D560" s="573"/>
      <c r="E560" s="571"/>
      <c r="F560" s="571"/>
      <c r="G560" s="573"/>
      <c r="H560" s="573"/>
    </row>
    <row r="561" customFormat="false" ht="21" hidden="false" customHeight="true" outlineLevel="0" collapsed="false">
      <c r="B561" s="572"/>
      <c r="C561" s="573"/>
      <c r="D561" s="573"/>
      <c r="E561" s="571"/>
      <c r="F561" s="571"/>
      <c r="G561" s="573"/>
      <c r="H561" s="573"/>
    </row>
    <row r="562" customFormat="false" ht="21" hidden="false" customHeight="true" outlineLevel="0" collapsed="false">
      <c r="B562" s="572"/>
      <c r="C562" s="573"/>
      <c r="D562" s="573"/>
      <c r="E562" s="571"/>
      <c r="F562" s="571"/>
      <c r="G562" s="573"/>
      <c r="H562" s="573"/>
    </row>
    <row r="563" customFormat="false" ht="21" hidden="false" customHeight="true" outlineLevel="0" collapsed="false">
      <c r="B563" s="572"/>
      <c r="C563" s="573"/>
      <c r="D563" s="573"/>
      <c r="E563" s="571"/>
      <c r="F563" s="571"/>
      <c r="G563" s="573"/>
      <c r="H563" s="573"/>
    </row>
    <row r="564" customFormat="false" ht="21" hidden="false" customHeight="true" outlineLevel="0" collapsed="false">
      <c r="B564" s="572"/>
      <c r="C564" s="573"/>
      <c r="D564" s="573"/>
      <c r="E564" s="571"/>
      <c r="F564" s="571"/>
      <c r="G564" s="573"/>
      <c r="H564" s="573"/>
    </row>
    <row r="565" customFormat="false" ht="21" hidden="false" customHeight="true" outlineLevel="0" collapsed="false">
      <c r="B565" s="572"/>
      <c r="C565" s="573"/>
      <c r="D565" s="573"/>
      <c r="E565" s="571"/>
      <c r="F565" s="571"/>
      <c r="G565" s="573"/>
      <c r="H565" s="573"/>
    </row>
    <row r="566" customFormat="false" ht="21" hidden="false" customHeight="true" outlineLevel="0" collapsed="false">
      <c r="B566" s="572"/>
      <c r="C566" s="573"/>
      <c r="D566" s="573"/>
      <c r="E566" s="571"/>
      <c r="F566" s="571"/>
      <c r="G566" s="573"/>
      <c r="H566" s="573"/>
    </row>
    <row r="567" customFormat="false" ht="21" hidden="false" customHeight="true" outlineLevel="0" collapsed="false">
      <c r="B567" s="572"/>
      <c r="C567" s="573"/>
      <c r="D567" s="573"/>
      <c r="E567" s="571"/>
      <c r="F567" s="571"/>
      <c r="G567" s="573"/>
      <c r="H567" s="573"/>
    </row>
    <row r="568" customFormat="false" ht="21" hidden="false" customHeight="true" outlineLevel="0" collapsed="false">
      <c r="B568" s="572"/>
      <c r="C568" s="573"/>
      <c r="D568" s="573"/>
      <c r="E568" s="571"/>
      <c r="F568" s="571"/>
      <c r="G568" s="573"/>
      <c r="H568" s="573"/>
    </row>
    <row r="569" customFormat="false" ht="21" hidden="false" customHeight="true" outlineLevel="0" collapsed="false">
      <c r="B569" s="572"/>
      <c r="C569" s="573"/>
      <c r="D569" s="573"/>
      <c r="E569" s="571"/>
      <c r="F569" s="571"/>
      <c r="G569" s="573"/>
      <c r="H569" s="573"/>
    </row>
    <row r="570" customFormat="false" ht="21" hidden="false" customHeight="true" outlineLevel="0" collapsed="false">
      <c r="B570" s="572"/>
      <c r="C570" s="573"/>
      <c r="D570" s="573"/>
      <c r="E570" s="571"/>
      <c r="F570" s="571"/>
      <c r="G570" s="573"/>
      <c r="H570" s="573"/>
    </row>
    <row r="571" customFormat="false" ht="21" hidden="false" customHeight="true" outlineLevel="0" collapsed="false">
      <c r="B571" s="572"/>
      <c r="C571" s="573"/>
      <c r="D571" s="573"/>
      <c r="E571" s="571"/>
      <c r="F571" s="571"/>
      <c r="G571" s="573"/>
      <c r="H571" s="573"/>
    </row>
    <row r="572" customFormat="false" ht="21" hidden="false" customHeight="true" outlineLevel="0" collapsed="false">
      <c r="B572" s="572"/>
      <c r="C572" s="573"/>
      <c r="D572" s="573"/>
      <c r="E572" s="571"/>
      <c r="F572" s="571"/>
      <c r="G572" s="573"/>
      <c r="H572" s="573"/>
    </row>
    <row r="573" customFormat="false" ht="21" hidden="false" customHeight="true" outlineLevel="0" collapsed="false">
      <c r="B573" s="572"/>
      <c r="C573" s="573"/>
      <c r="D573" s="573"/>
      <c r="E573" s="571"/>
      <c r="F573" s="571"/>
      <c r="G573" s="573"/>
      <c r="H573" s="573"/>
    </row>
    <row r="574" customFormat="false" ht="21" hidden="false" customHeight="true" outlineLevel="0" collapsed="false">
      <c r="B574" s="572"/>
      <c r="C574" s="573"/>
      <c r="D574" s="573"/>
      <c r="E574" s="571"/>
      <c r="F574" s="571"/>
      <c r="G574" s="573"/>
      <c r="H574" s="573"/>
    </row>
    <row r="575" customFormat="false" ht="21" hidden="false" customHeight="true" outlineLevel="0" collapsed="false">
      <c r="B575" s="572"/>
      <c r="C575" s="573"/>
      <c r="D575" s="573"/>
      <c r="E575" s="571"/>
      <c r="F575" s="571"/>
      <c r="G575" s="573"/>
      <c r="H575" s="573"/>
    </row>
    <row r="576" customFormat="false" ht="21" hidden="false" customHeight="true" outlineLevel="0" collapsed="false">
      <c r="B576" s="572"/>
      <c r="C576" s="573"/>
      <c r="D576" s="573"/>
      <c r="E576" s="571"/>
      <c r="F576" s="571"/>
      <c r="G576" s="573"/>
      <c r="H576" s="573"/>
    </row>
    <row r="577" customFormat="false" ht="21" hidden="false" customHeight="true" outlineLevel="0" collapsed="false">
      <c r="B577" s="572"/>
      <c r="C577" s="573"/>
      <c r="D577" s="573"/>
      <c r="E577" s="571"/>
      <c r="F577" s="571"/>
      <c r="G577" s="573"/>
      <c r="H577" s="573"/>
    </row>
    <row r="578" customFormat="false" ht="21" hidden="false" customHeight="true" outlineLevel="0" collapsed="false">
      <c r="B578" s="572"/>
      <c r="C578" s="573"/>
      <c r="D578" s="573"/>
      <c r="E578" s="571"/>
      <c r="F578" s="571"/>
      <c r="G578" s="573"/>
      <c r="H578" s="573"/>
    </row>
    <row r="579" customFormat="false" ht="21" hidden="false" customHeight="true" outlineLevel="0" collapsed="false">
      <c r="B579" s="572"/>
      <c r="C579" s="573"/>
      <c r="D579" s="573"/>
      <c r="E579" s="571"/>
      <c r="F579" s="571"/>
      <c r="G579" s="573"/>
      <c r="H579" s="573"/>
    </row>
    <row r="580" customFormat="false" ht="21" hidden="false" customHeight="true" outlineLevel="0" collapsed="false">
      <c r="B580" s="572"/>
      <c r="C580" s="573"/>
      <c r="D580" s="573"/>
      <c r="E580" s="571"/>
      <c r="F580" s="571"/>
      <c r="G580" s="573"/>
      <c r="H580" s="573"/>
    </row>
    <row r="581" customFormat="false" ht="21" hidden="false" customHeight="true" outlineLevel="0" collapsed="false">
      <c r="B581" s="572"/>
      <c r="C581" s="573"/>
      <c r="D581" s="573"/>
      <c r="E581" s="571"/>
      <c r="F581" s="571"/>
      <c r="G581" s="573"/>
      <c r="H581" s="573"/>
    </row>
    <row r="582" customFormat="false" ht="21" hidden="false" customHeight="true" outlineLevel="0" collapsed="false">
      <c r="B582" s="572"/>
      <c r="C582" s="573"/>
      <c r="D582" s="573"/>
      <c r="E582" s="571"/>
      <c r="F582" s="571"/>
      <c r="G582" s="573"/>
      <c r="H582" s="573"/>
    </row>
    <row r="583" customFormat="false" ht="21" hidden="false" customHeight="true" outlineLevel="0" collapsed="false">
      <c r="B583" s="572"/>
      <c r="C583" s="573"/>
      <c r="D583" s="573"/>
      <c r="E583" s="571"/>
      <c r="F583" s="571"/>
      <c r="G583" s="573"/>
      <c r="H583" s="573"/>
    </row>
    <row r="584" customFormat="false" ht="21" hidden="false" customHeight="true" outlineLevel="0" collapsed="false">
      <c r="B584" s="572"/>
      <c r="C584" s="573"/>
      <c r="D584" s="573"/>
      <c r="E584" s="571"/>
      <c r="F584" s="571"/>
      <c r="G584" s="573"/>
      <c r="H584" s="573"/>
    </row>
    <row r="585" customFormat="false" ht="21" hidden="false" customHeight="true" outlineLevel="0" collapsed="false">
      <c r="B585" s="572"/>
      <c r="C585" s="573"/>
      <c r="D585" s="573"/>
      <c r="E585" s="571"/>
      <c r="F585" s="571"/>
      <c r="G585" s="573"/>
      <c r="H585" s="573"/>
    </row>
    <row r="586" customFormat="false" ht="21" hidden="false" customHeight="true" outlineLevel="0" collapsed="false">
      <c r="B586" s="572"/>
      <c r="C586" s="573"/>
      <c r="D586" s="573"/>
      <c r="E586" s="571"/>
      <c r="F586" s="571"/>
      <c r="G586" s="573"/>
      <c r="H586" s="573"/>
    </row>
    <row r="587" customFormat="false" ht="21" hidden="false" customHeight="true" outlineLevel="0" collapsed="false">
      <c r="B587" s="572"/>
      <c r="C587" s="573"/>
      <c r="D587" s="573"/>
      <c r="E587" s="571"/>
      <c r="F587" s="571"/>
      <c r="G587" s="573"/>
      <c r="H587" s="573"/>
    </row>
    <row r="588" customFormat="false" ht="21" hidden="false" customHeight="true" outlineLevel="0" collapsed="false">
      <c r="B588" s="572"/>
      <c r="C588" s="573"/>
      <c r="D588" s="573"/>
      <c r="E588" s="571"/>
      <c r="F588" s="571"/>
      <c r="G588" s="573"/>
      <c r="H588" s="573"/>
    </row>
    <row r="589" customFormat="false" ht="21" hidden="false" customHeight="true" outlineLevel="0" collapsed="false">
      <c r="B589" s="572"/>
      <c r="C589" s="573"/>
      <c r="D589" s="573"/>
      <c r="E589" s="571"/>
      <c r="F589" s="571"/>
      <c r="G589" s="573"/>
      <c r="H589" s="573"/>
    </row>
    <row r="590" customFormat="false" ht="21" hidden="false" customHeight="true" outlineLevel="0" collapsed="false">
      <c r="B590" s="572"/>
      <c r="C590" s="573"/>
      <c r="D590" s="573"/>
      <c r="E590" s="571"/>
      <c r="F590" s="571"/>
      <c r="G590" s="573"/>
      <c r="H590" s="573"/>
    </row>
    <row r="591" customFormat="false" ht="21" hidden="false" customHeight="true" outlineLevel="0" collapsed="false">
      <c r="B591" s="572"/>
      <c r="C591" s="573"/>
      <c r="D591" s="573"/>
      <c r="E591" s="571"/>
      <c r="F591" s="571"/>
      <c r="G591" s="573"/>
      <c r="H591" s="573"/>
    </row>
    <row r="592" customFormat="false" ht="21" hidden="false" customHeight="true" outlineLevel="0" collapsed="false">
      <c r="B592" s="572"/>
      <c r="C592" s="573"/>
      <c r="D592" s="573"/>
      <c r="E592" s="571"/>
      <c r="F592" s="571"/>
      <c r="G592" s="573"/>
      <c r="H592" s="573"/>
    </row>
    <row r="593" customFormat="false" ht="21" hidden="false" customHeight="true" outlineLevel="0" collapsed="false">
      <c r="B593" s="572"/>
      <c r="C593" s="573"/>
      <c r="D593" s="573"/>
      <c r="E593" s="571"/>
      <c r="F593" s="571"/>
      <c r="G593" s="573"/>
      <c r="H593" s="573"/>
    </row>
    <row r="594" customFormat="false" ht="21" hidden="false" customHeight="true" outlineLevel="0" collapsed="false">
      <c r="B594" s="572"/>
      <c r="C594" s="573"/>
      <c r="D594" s="573"/>
      <c r="E594" s="571"/>
      <c r="F594" s="571"/>
      <c r="G594" s="573"/>
      <c r="H594" s="573"/>
    </row>
    <row r="595" customFormat="false" ht="21" hidden="false" customHeight="true" outlineLevel="0" collapsed="false">
      <c r="B595" s="572"/>
      <c r="C595" s="573"/>
      <c r="D595" s="573"/>
      <c r="E595" s="571"/>
      <c r="F595" s="571"/>
      <c r="G595" s="573"/>
      <c r="H595" s="573"/>
    </row>
    <row r="596" customFormat="false" ht="21" hidden="false" customHeight="true" outlineLevel="0" collapsed="false">
      <c r="B596" s="572"/>
      <c r="C596" s="573"/>
      <c r="D596" s="574"/>
      <c r="E596" s="575"/>
      <c r="F596" s="575"/>
      <c r="G596" s="574"/>
      <c r="H596" s="574"/>
    </row>
    <row r="597" customFormat="false" ht="21" hidden="false" customHeight="true" outlineLevel="0" collapsed="false">
      <c r="B597" s="572"/>
      <c r="C597" s="573"/>
      <c r="D597" s="574"/>
      <c r="E597" s="575"/>
      <c r="F597" s="575"/>
      <c r="G597" s="574"/>
      <c r="H597" s="574"/>
    </row>
    <row r="598" customFormat="false" ht="21" hidden="false" customHeight="true" outlineLevel="0" collapsed="false">
      <c r="B598" s="572"/>
      <c r="C598" s="573"/>
      <c r="D598" s="574"/>
      <c r="E598" s="575"/>
      <c r="F598" s="575"/>
      <c r="G598" s="574"/>
      <c r="H598" s="574"/>
    </row>
    <row r="599" customFormat="false" ht="21" hidden="false" customHeight="true" outlineLevel="0" collapsed="false">
      <c r="B599" s="572"/>
      <c r="C599" s="573"/>
      <c r="D599" s="574"/>
      <c r="E599" s="575"/>
      <c r="F599" s="575"/>
      <c r="G599" s="574"/>
      <c r="H599" s="574"/>
    </row>
    <row r="600" customFormat="false" ht="21" hidden="false" customHeight="true" outlineLevel="0" collapsed="false">
      <c r="B600" s="572"/>
      <c r="C600" s="573"/>
      <c r="D600" s="574"/>
      <c r="E600" s="575"/>
      <c r="F600" s="575"/>
      <c r="G600" s="574"/>
      <c r="H600" s="574"/>
    </row>
    <row r="601" customFormat="false" ht="21" hidden="false" customHeight="true" outlineLevel="0" collapsed="false">
      <c r="B601" s="572"/>
      <c r="C601" s="573"/>
      <c r="D601" s="574"/>
      <c r="E601" s="575"/>
      <c r="F601" s="575"/>
      <c r="G601" s="574"/>
      <c r="H601" s="574"/>
    </row>
    <row r="602" customFormat="false" ht="21" hidden="false" customHeight="true" outlineLevel="0" collapsed="false">
      <c r="B602" s="572"/>
      <c r="C602" s="573"/>
      <c r="D602" s="574"/>
      <c r="E602" s="575"/>
      <c r="F602" s="575"/>
      <c r="G602" s="574"/>
      <c r="H602" s="574"/>
    </row>
    <row r="603" customFormat="false" ht="21" hidden="false" customHeight="true" outlineLevel="0" collapsed="false">
      <c r="B603" s="572"/>
      <c r="C603" s="573"/>
      <c r="D603" s="574"/>
      <c r="E603" s="575"/>
      <c r="F603" s="575"/>
      <c r="G603" s="574"/>
      <c r="H603" s="574"/>
    </row>
    <row r="604" customFormat="false" ht="21" hidden="false" customHeight="true" outlineLevel="0" collapsed="false">
      <c r="B604" s="572"/>
      <c r="C604" s="573"/>
      <c r="D604" s="574"/>
      <c r="E604" s="575"/>
      <c r="F604" s="575"/>
      <c r="G604" s="574"/>
      <c r="H604" s="574"/>
    </row>
    <row r="605" customFormat="false" ht="21" hidden="false" customHeight="true" outlineLevel="0" collapsed="false">
      <c r="B605" s="572"/>
      <c r="C605" s="573"/>
      <c r="D605" s="574"/>
      <c r="E605" s="575"/>
      <c r="F605" s="575"/>
      <c r="G605" s="574"/>
      <c r="H605" s="574"/>
    </row>
    <row r="606" customFormat="false" ht="21" hidden="false" customHeight="true" outlineLevel="0" collapsed="false">
      <c r="B606" s="572"/>
      <c r="C606" s="573"/>
      <c r="D606" s="574"/>
      <c r="E606" s="575"/>
      <c r="F606" s="575"/>
      <c r="G606" s="574"/>
      <c r="H606" s="574"/>
    </row>
    <row r="607" customFormat="false" ht="21" hidden="false" customHeight="true" outlineLevel="0" collapsed="false">
      <c r="B607" s="572"/>
      <c r="C607" s="573"/>
      <c r="D607" s="574"/>
      <c r="E607" s="575"/>
      <c r="F607" s="575"/>
      <c r="G607" s="574"/>
      <c r="H607" s="574"/>
    </row>
    <row r="608" customFormat="false" ht="21" hidden="false" customHeight="true" outlineLevel="0" collapsed="false">
      <c r="B608" s="572"/>
      <c r="C608" s="573"/>
      <c r="D608" s="574"/>
      <c r="E608" s="575"/>
      <c r="F608" s="575"/>
      <c r="G608" s="574"/>
      <c r="H608" s="574"/>
    </row>
    <row r="609" customFormat="false" ht="21" hidden="false" customHeight="true" outlineLevel="0" collapsed="false">
      <c r="B609" s="572"/>
      <c r="C609" s="573"/>
      <c r="D609" s="574"/>
      <c r="E609" s="575"/>
      <c r="F609" s="575"/>
      <c r="G609" s="574"/>
      <c r="H609" s="574"/>
    </row>
    <row r="610" customFormat="false" ht="21" hidden="false" customHeight="true" outlineLevel="0" collapsed="false">
      <c r="B610" s="572"/>
      <c r="C610" s="573"/>
      <c r="D610" s="574"/>
      <c r="E610" s="575"/>
      <c r="F610" s="575"/>
      <c r="G610" s="574"/>
      <c r="H610" s="574"/>
    </row>
    <row r="611" customFormat="false" ht="21" hidden="false" customHeight="true" outlineLevel="0" collapsed="false">
      <c r="B611" s="572"/>
      <c r="C611" s="573"/>
      <c r="D611" s="574"/>
      <c r="E611" s="575"/>
      <c r="F611" s="575"/>
      <c r="G611" s="574"/>
      <c r="H611" s="574"/>
    </row>
    <row r="612" customFormat="false" ht="21" hidden="false" customHeight="true" outlineLevel="0" collapsed="false">
      <c r="B612" s="572"/>
      <c r="C612" s="573"/>
      <c r="D612" s="574"/>
      <c r="E612" s="575"/>
      <c r="F612" s="575"/>
      <c r="G612" s="574"/>
      <c r="H612" s="574"/>
    </row>
    <row r="613" customFormat="false" ht="21" hidden="false" customHeight="true" outlineLevel="0" collapsed="false">
      <c r="B613" s="572"/>
      <c r="C613" s="573"/>
      <c r="D613" s="574"/>
      <c r="E613" s="575"/>
      <c r="F613" s="575"/>
      <c r="G613" s="574"/>
      <c r="H613" s="574"/>
    </row>
    <row r="614" customFormat="false" ht="21" hidden="false" customHeight="true" outlineLevel="0" collapsed="false">
      <c r="B614" s="572"/>
      <c r="C614" s="573"/>
      <c r="D614" s="574"/>
      <c r="E614" s="575"/>
      <c r="F614" s="575"/>
      <c r="G614" s="574"/>
      <c r="H614" s="574"/>
    </row>
    <row r="615" customFormat="false" ht="21" hidden="false" customHeight="true" outlineLevel="0" collapsed="false">
      <c r="B615" s="572"/>
      <c r="C615" s="573"/>
      <c r="D615" s="574"/>
      <c r="E615" s="575"/>
      <c r="F615" s="575"/>
      <c r="G615" s="574"/>
      <c r="H615" s="574"/>
    </row>
    <row r="616" customFormat="false" ht="21" hidden="false" customHeight="true" outlineLevel="0" collapsed="false">
      <c r="B616" s="572"/>
      <c r="C616" s="573"/>
      <c r="D616" s="574"/>
      <c r="E616" s="575"/>
      <c r="F616" s="575"/>
      <c r="G616" s="574"/>
      <c r="H616" s="574"/>
    </row>
    <row r="617" customFormat="false" ht="21" hidden="false" customHeight="true" outlineLevel="0" collapsed="false">
      <c r="B617" s="572"/>
      <c r="C617" s="573"/>
      <c r="D617" s="574"/>
      <c r="E617" s="575"/>
      <c r="F617" s="575"/>
      <c r="G617" s="574"/>
      <c r="H617" s="574"/>
    </row>
    <row r="618" customFormat="false" ht="21" hidden="false" customHeight="true" outlineLevel="0" collapsed="false">
      <c r="B618" s="572"/>
      <c r="C618" s="573"/>
      <c r="D618" s="574"/>
      <c r="E618" s="575"/>
      <c r="F618" s="575"/>
      <c r="G618" s="574"/>
      <c r="H618" s="574"/>
    </row>
    <row r="619" customFormat="false" ht="21" hidden="false" customHeight="true" outlineLevel="0" collapsed="false">
      <c r="B619" s="572"/>
      <c r="C619" s="573"/>
      <c r="D619" s="574"/>
      <c r="E619" s="575"/>
      <c r="F619" s="575"/>
      <c r="G619" s="574"/>
      <c r="H619" s="574"/>
    </row>
    <row r="620" customFormat="false" ht="21" hidden="false" customHeight="true" outlineLevel="0" collapsed="false">
      <c r="B620" s="572"/>
      <c r="C620" s="573"/>
      <c r="D620" s="574"/>
      <c r="E620" s="575"/>
      <c r="F620" s="575"/>
      <c r="G620" s="574"/>
      <c r="H620" s="574"/>
    </row>
    <row r="621" customFormat="false" ht="21" hidden="false" customHeight="true" outlineLevel="0" collapsed="false">
      <c r="B621" s="572"/>
      <c r="C621" s="573"/>
      <c r="D621" s="574"/>
      <c r="E621" s="575"/>
      <c r="F621" s="575"/>
      <c r="G621" s="574"/>
      <c r="H621" s="574"/>
    </row>
    <row r="622" customFormat="false" ht="21" hidden="false" customHeight="true" outlineLevel="0" collapsed="false">
      <c r="B622" s="572"/>
      <c r="C622" s="573"/>
      <c r="D622" s="574"/>
      <c r="E622" s="575"/>
      <c r="F622" s="575"/>
      <c r="G622" s="574"/>
      <c r="H622" s="574"/>
    </row>
    <row r="623" customFormat="false" ht="21" hidden="false" customHeight="true" outlineLevel="0" collapsed="false">
      <c r="B623" s="572"/>
      <c r="C623" s="573"/>
      <c r="D623" s="574"/>
      <c r="E623" s="575"/>
      <c r="F623" s="575"/>
      <c r="G623" s="574"/>
      <c r="H623" s="574"/>
    </row>
    <row r="624" customFormat="false" ht="21" hidden="false" customHeight="true" outlineLevel="0" collapsed="false">
      <c r="B624" s="572"/>
      <c r="C624" s="573"/>
      <c r="D624" s="574"/>
      <c r="E624" s="575"/>
      <c r="F624" s="575"/>
      <c r="G624" s="574"/>
      <c r="H624" s="574"/>
    </row>
    <row r="625" customFormat="false" ht="21" hidden="false" customHeight="true" outlineLevel="0" collapsed="false">
      <c r="B625" s="572"/>
      <c r="C625" s="573"/>
      <c r="D625" s="574"/>
      <c r="E625" s="575"/>
      <c r="F625" s="575"/>
      <c r="G625" s="574"/>
      <c r="H625" s="574"/>
    </row>
    <row r="626" customFormat="false" ht="21" hidden="false" customHeight="true" outlineLevel="0" collapsed="false">
      <c r="B626" s="572"/>
      <c r="C626" s="573"/>
      <c r="D626" s="574"/>
      <c r="E626" s="575"/>
      <c r="F626" s="575"/>
      <c r="G626" s="574"/>
      <c r="H626" s="574"/>
    </row>
    <row r="627" customFormat="false" ht="21" hidden="false" customHeight="true" outlineLevel="0" collapsed="false">
      <c r="B627" s="572"/>
      <c r="C627" s="573"/>
      <c r="D627" s="574"/>
      <c r="E627" s="575"/>
      <c r="F627" s="575"/>
      <c r="G627" s="574"/>
      <c r="H627" s="574"/>
    </row>
    <row r="628" customFormat="false" ht="21" hidden="false" customHeight="true" outlineLevel="0" collapsed="false">
      <c r="B628" s="572"/>
      <c r="C628" s="573"/>
      <c r="D628" s="574"/>
      <c r="E628" s="575"/>
      <c r="F628" s="575"/>
      <c r="G628" s="574"/>
      <c r="H628" s="574"/>
    </row>
    <row r="629" customFormat="false" ht="21" hidden="false" customHeight="true" outlineLevel="0" collapsed="false">
      <c r="B629" s="572"/>
      <c r="C629" s="573"/>
      <c r="D629" s="574"/>
      <c r="E629" s="575"/>
      <c r="F629" s="575"/>
      <c r="G629" s="574"/>
      <c r="H629" s="574"/>
    </row>
    <row r="630" customFormat="false" ht="21" hidden="false" customHeight="true" outlineLevel="0" collapsed="false">
      <c r="B630" s="572"/>
      <c r="C630" s="573"/>
      <c r="D630" s="574"/>
      <c r="E630" s="575"/>
      <c r="F630" s="575"/>
      <c r="G630" s="574"/>
      <c r="H630" s="574"/>
    </row>
    <row r="631" customFormat="false" ht="21" hidden="false" customHeight="true" outlineLevel="0" collapsed="false">
      <c r="B631" s="572"/>
      <c r="C631" s="573"/>
      <c r="D631" s="574"/>
      <c r="E631" s="575"/>
      <c r="F631" s="575"/>
      <c r="G631" s="574"/>
      <c r="H631" s="574"/>
    </row>
    <row r="632" customFormat="false" ht="21" hidden="false" customHeight="true" outlineLevel="0" collapsed="false">
      <c r="B632" s="572"/>
      <c r="C632" s="573"/>
      <c r="D632" s="574"/>
      <c r="E632" s="575"/>
      <c r="F632" s="575"/>
      <c r="G632" s="574"/>
      <c r="H632" s="574"/>
    </row>
    <row r="633" customFormat="false" ht="21" hidden="false" customHeight="true" outlineLevel="0" collapsed="false">
      <c r="B633" s="572"/>
      <c r="C633" s="573"/>
      <c r="D633" s="574"/>
      <c r="E633" s="575"/>
      <c r="F633" s="575"/>
      <c r="G633" s="574"/>
      <c r="H633" s="574"/>
    </row>
    <row r="634" customFormat="false" ht="21" hidden="false" customHeight="true" outlineLevel="0" collapsed="false">
      <c r="B634" s="572"/>
      <c r="C634" s="573"/>
      <c r="D634" s="574"/>
      <c r="E634" s="575"/>
      <c r="F634" s="575"/>
      <c r="G634" s="574"/>
      <c r="H634" s="574"/>
    </row>
    <row r="635" customFormat="false" ht="21" hidden="false" customHeight="true" outlineLevel="0" collapsed="false">
      <c r="B635" s="572"/>
      <c r="C635" s="573"/>
      <c r="D635" s="574"/>
      <c r="E635" s="575"/>
      <c r="F635" s="575"/>
      <c r="G635" s="574"/>
      <c r="H635" s="574"/>
    </row>
    <row r="636" customFormat="false" ht="21" hidden="false" customHeight="true" outlineLevel="0" collapsed="false">
      <c r="B636" s="572"/>
      <c r="C636" s="573"/>
      <c r="D636" s="574"/>
      <c r="E636" s="575"/>
      <c r="F636" s="575"/>
      <c r="G636" s="574"/>
      <c r="H636" s="574"/>
    </row>
    <row r="637" customFormat="false" ht="21" hidden="false" customHeight="true" outlineLevel="0" collapsed="false">
      <c r="B637" s="572"/>
      <c r="C637" s="573"/>
      <c r="D637" s="574"/>
      <c r="E637" s="575"/>
      <c r="F637" s="575"/>
      <c r="G637" s="574"/>
      <c r="H637" s="574"/>
    </row>
    <row r="638" customFormat="false" ht="21" hidden="false" customHeight="true" outlineLevel="0" collapsed="false">
      <c r="B638" s="572"/>
      <c r="C638" s="573"/>
      <c r="D638" s="574"/>
      <c r="E638" s="575"/>
      <c r="F638" s="575"/>
      <c r="G638" s="574"/>
      <c r="H638" s="574"/>
    </row>
    <row r="639" customFormat="false" ht="21" hidden="false" customHeight="true" outlineLevel="0" collapsed="false">
      <c r="B639" s="572"/>
      <c r="C639" s="573"/>
      <c r="D639" s="574"/>
      <c r="E639" s="575"/>
      <c r="F639" s="575"/>
      <c r="G639" s="574"/>
      <c r="H639" s="574"/>
    </row>
    <row r="640" customFormat="false" ht="21" hidden="false" customHeight="true" outlineLevel="0" collapsed="false">
      <c r="B640" s="572"/>
      <c r="C640" s="573"/>
      <c r="D640" s="574"/>
      <c r="E640" s="575"/>
      <c r="F640" s="575"/>
      <c r="G640" s="574"/>
      <c r="H640" s="574"/>
    </row>
    <row r="641" customFormat="false" ht="21" hidden="false" customHeight="true" outlineLevel="0" collapsed="false">
      <c r="B641" s="572"/>
      <c r="C641" s="573"/>
      <c r="D641" s="574"/>
      <c r="E641" s="575"/>
      <c r="F641" s="575"/>
      <c r="G641" s="574"/>
      <c r="H641" s="574"/>
    </row>
    <row r="642" customFormat="false" ht="21" hidden="false" customHeight="true" outlineLevel="0" collapsed="false">
      <c r="B642" s="572"/>
      <c r="C642" s="573"/>
      <c r="D642" s="574"/>
      <c r="E642" s="575"/>
      <c r="F642" s="575"/>
      <c r="G642" s="574"/>
      <c r="H642" s="574"/>
    </row>
    <row r="643" customFormat="false" ht="21" hidden="false" customHeight="true" outlineLevel="0" collapsed="false">
      <c r="B643" s="572"/>
      <c r="C643" s="573"/>
      <c r="D643" s="574"/>
      <c r="E643" s="575"/>
      <c r="F643" s="575"/>
      <c r="G643" s="574"/>
      <c r="H643" s="574"/>
    </row>
    <row r="644" customFormat="false" ht="21" hidden="false" customHeight="true" outlineLevel="0" collapsed="false">
      <c r="B644" s="572"/>
      <c r="C644" s="573"/>
      <c r="D644" s="574"/>
      <c r="E644" s="575"/>
      <c r="F644" s="575"/>
      <c r="G644" s="574"/>
      <c r="H644" s="574"/>
    </row>
    <row r="645" customFormat="false" ht="21" hidden="false" customHeight="true" outlineLevel="0" collapsed="false">
      <c r="B645" s="572"/>
      <c r="C645" s="573"/>
      <c r="D645" s="574"/>
      <c r="E645" s="575"/>
      <c r="F645" s="575"/>
      <c r="G645" s="574"/>
      <c r="H645" s="574"/>
    </row>
    <row r="646" customFormat="false" ht="21" hidden="false" customHeight="true" outlineLevel="0" collapsed="false">
      <c r="B646" s="572"/>
      <c r="C646" s="573"/>
      <c r="D646" s="574"/>
      <c r="E646" s="575"/>
      <c r="F646" s="575"/>
      <c r="G646" s="574"/>
      <c r="H646" s="574"/>
    </row>
    <row r="647" customFormat="false" ht="21" hidden="false" customHeight="true" outlineLevel="0" collapsed="false">
      <c r="B647" s="572"/>
      <c r="C647" s="573"/>
      <c r="D647" s="574"/>
      <c r="E647" s="575"/>
      <c r="F647" s="575"/>
      <c r="G647" s="574"/>
      <c r="H647" s="574"/>
    </row>
    <row r="648" customFormat="false" ht="21" hidden="false" customHeight="true" outlineLevel="0" collapsed="false">
      <c r="B648" s="572"/>
      <c r="C648" s="573"/>
      <c r="D648" s="574"/>
      <c r="E648" s="575"/>
      <c r="F648" s="575"/>
      <c r="G648" s="574"/>
      <c r="H648" s="574"/>
    </row>
    <row r="649" customFormat="false" ht="21" hidden="false" customHeight="true" outlineLevel="0" collapsed="false">
      <c r="B649" s="572"/>
      <c r="C649" s="573"/>
      <c r="D649" s="574"/>
      <c r="E649" s="575"/>
      <c r="F649" s="575"/>
      <c r="G649" s="574"/>
      <c r="H649" s="574"/>
    </row>
    <row r="650" customFormat="false" ht="21" hidden="false" customHeight="true" outlineLevel="0" collapsed="false">
      <c r="B650" s="572"/>
      <c r="C650" s="573"/>
      <c r="D650" s="574"/>
      <c r="E650" s="575"/>
      <c r="F650" s="575"/>
      <c r="G650" s="574"/>
      <c r="H650" s="574"/>
    </row>
    <row r="651" customFormat="false" ht="21" hidden="false" customHeight="true" outlineLevel="0" collapsed="false">
      <c r="B651" s="572"/>
      <c r="C651" s="573"/>
      <c r="D651" s="574"/>
      <c r="E651" s="575"/>
      <c r="F651" s="575"/>
      <c r="G651" s="574"/>
      <c r="H651" s="574"/>
    </row>
    <row r="652" customFormat="false" ht="21" hidden="false" customHeight="true" outlineLevel="0" collapsed="false">
      <c r="B652" s="572"/>
      <c r="C652" s="573"/>
      <c r="D652" s="574"/>
      <c r="E652" s="575"/>
      <c r="F652" s="575"/>
      <c r="G652" s="574"/>
      <c r="H652" s="574"/>
    </row>
    <row r="653" customFormat="false" ht="21" hidden="false" customHeight="true" outlineLevel="0" collapsed="false">
      <c r="B653" s="572"/>
      <c r="C653" s="573"/>
      <c r="D653" s="574"/>
      <c r="E653" s="575"/>
      <c r="F653" s="575"/>
      <c r="G653" s="574"/>
      <c r="H653" s="574"/>
    </row>
    <row r="654" customFormat="false" ht="21" hidden="false" customHeight="true" outlineLevel="0" collapsed="false">
      <c r="B654" s="572"/>
      <c r="C654" s="573"/>
      <c r="D654" s="574"/>
      <c r="E654" s="575"/>
      <c r="F654" s="575"/>
      <c r="G654" s="574"/>
      <c r="H654" s="574"/>
    </row>
    <row r="655" customFormat="false" ht="21" hidden="false" customHeight="true" outlineLevel="0" collapsed="false">
      <c r="B655" s="572"/>
      <c r="C655" s="573"/>
      <c r="D655" s="574"/>
      <c r="E655" s="575"/>
      <c r="F655" s="575"/>
      <c r="G655" s="574"/>
      <c r="H655" s="574"/>
    </row>
    <row r="656" customFormat="false" ht="21" hidden="false" customHeight="true" outlineLevel="0" collapsed="false">
      <c r="B656" s="572"/>
      <c r="C656" s="573"/>
      <c r="D656" s="574"/>
      <c r="E656" s="575"/>
      <c r="F656" s="575"/>
      <c r="G656" s="574"/>
      <c r="H656" s="574"/>
    </row>
    <row r="657" customFormat="false" ht="21" hidden="false" customHeight="true" outlineLevel="0" collapsed="false">
      <c r="B657" s="572"/>
      <c r="C657" s="573"/>
      <c r="D657" s="574"/>
      <c r="E657" s="575"/>
      <c r="F657" s="575"/>
      <c r="G657" s="574"/>
      <c r="H657" s="574"/>
    </row>
    <row r="658" customFormat="false" ht="21" hidden="false" customHeight="true" outlineLevel="0" collapsed="false">
      <c r="B658" s="572"/>
      <c r="C658" s="573"/>
      <c r="D658" s="574"/>
      <c r="E658" s="575"/>
      <c r="F658" s="575"/>
      <c r="G658" s="574"/>
      <c r="H658" s="574"/>
    </row>
    <row r="659" customFormat="false" ht="21" hidden="false" customHeight="true" outlineLevel="0" collapsed="false">
      <c r="B659" s="572"/>
      <c r="C659" s="573"/>
      <c r="D659" s="574"/>
      <c r="E659" s="575"/>
      <c r="F659" s="575"/>
      <c r="G659" s="574"/>
      <c r="H659" s="574"/>
    </row>
    <row r="660" customFormat="false" ht="21" hidden="false" customHeight="true" outlineLevel="0" collapsed="false">
      <c r="B660" s="572"/>
      <c r="C660" s="573"/>
      <c r="D660" s="574"/>
      <c r="E660" s="575"/>
      <c r="F660" s="575"/>
      <c r="G660" s="574"/>
      <c r="H660" s="574"/>
    </row>
    <row r="661" customFormat="false" ht="21" hidden="false" customHeight="true" outlineLevel="0" collapsed="false">
      <c r="B661" s="572"/>
      <c r="C661" s="573"/>
      <c r="D661" s="574"/>
      <c r="E661" s="575"/>
      <c r="F661" s="575"/>
      <c r="G661" s="574"/>
      <c r="H661" s="574"/>
    </row>
    <row r="662" customFormat="false" ht="21" hidden="false" customHeight="true" outlineLevel="0" collapsed="false">
      <c r="B662" s="572"/>
      <c r="C662" s="573"/>
      <c r="D662" s="574"/>
      <c r="E662" s="575"/>
      <c r="F662" s="575"/>
      <c r="G662" s="574"/>
      <c r="H662" s="574"/>
    </row>
    <row r="663" customFormat="false" ht="21" hidden="false" customHeight="true" outlineLevel="0" collapsed="false">
      <c r="B663" s="572"/>
      <c r="C663" s="573"/>
      <c r="D663" s="574"/>
      <c r="E663" s="575"/>
      <c r="F663" s="575"/>
      <c r="G663" s="574"/>
      <c r="H663" s="574"/>
    </row>
    <row r="664" customFormat="false" ht="21" hidden="false" customHeight="true" outlineLevel="0" collapsed="false">
      <c r="B664" s="572"/>
      <c r="C664" s="573"/>
      <c r="D664" s="574"/>
      <c r="E664" s="575"/>
      <c r="F664" s="575"/>
      <c r="G664" s="574"/>
      <c r="H664" s="574"/>
    </row>
    <row r="665" customFormat="false" ht="21" hidden="false" customHeight="true" outlineLevel="0" collapsed="false">
      <c r="B665" s="572"/>
      <c r="C665" s="573"/>
      <c r="D665" s="574"/>
      <c r="E665" s="575"/>
      <c r="F665" s="575"/>
      <c r="G665" s="574"/>
      <c r="H665" s="574"/>
    </row>
    <row r="666" customFormat="false" ht="21" hidden="false" customHeight="true" outlineLevel="0" collapsed="false">
      <c r="B666" s="572"/>
      <c r="C666" s="573"/>
      <c r="D666" s="574"/>
      <c r="E666" s="575"/>
      <c r="F666" s="575"/>
      <c r="G666" s="574"/>
      <c r="H666" s="574"/>
    </row>
    <row r="667" customFormat="false" ht="21" hidden="false" customHeight="true" outlineLevel="0" collapsed="false">
      <c r="B667" s="572"/>
      <c r="C667" s="573"/>
      <c r="D667" s="574"/>
      <c r="E667" s="575"/>
      <c r="F667" s="575"/>
      <c r="G667" s="574"/>
      <c r="H667" s="574"/>
    </row>
    <row r="668" customFormat="false" ht="21" hidden="false" customHeight="true" outlineLevel="0" collapsed="false">
      <c r="B668" s="572"/>
      <c r="C668" s="573"/>
      <c r="D668" s="574"/>
      <c r="E668" s="575"/>
      <c r="F668" s="575"/>
      <c r="G668" s="574"/>
      <c r="H668" s="574"/>
    </row>
    <row r="669" customFormat="false" ht="21" hidden="false" customHeight="true" outlineLevel="0" collapsed="false">
      <c r="B669" s="572"/>
      <c r="C669" s="573"/>
      <c r="D669" s="574"/>
      <c r="E669" s="575"/>
      <c r="F669" s="575"/>
      <c r="G669" s="574"/>
      <c r="H669" s="574"/>
    </row>
    <row r="670" customFormat="false" ht="21" hidden="false" customHeight="true" outlineLevel="0" collapsed="false">
      <c r="B670" s="572"/>
      <c r="C670" s="573"/>
      <c r="D670" s="574"/>
      <c r="E670" s="575"/>
      <c r="F670" s="575"/>
      <c r="G670" s="574"/>
      <c r="H670" s="574"/>
    </row>
    <row r="671" customFormat="false" ht="21" hidden="false" customHeight="true" outlineLevel="0" collapsed="false">
      <c r="B671" s="572"/>
      <c r="C671" s="573"/>
      <c r="D671" s="574"/>
      <c r="E671" s="575"/>
      <c r="F671" s="575"/>
      <c r="G671" s="574"/>
      <c r="H671" s="574"/>
    </row>
    <row r="672" customFormat="false" ht="21" hidden="false" customHeight="true" outlineLevel="0" collapsed="false">
      <c r="B672" s="572"/>
      <c r="C672" s="573"/>
      <c r="D672" s="574"/>
      <c r="E672" s="575"/>
      <c r="F672" s="575"/>
      <c r="G672" s="574"/>
      <c r="H672" s="574"/>
    </row>
    <row r="673" customFormat="false" ht="21" hidden="false" customHeight="true" outlineLevel="0" collapsed="false">
      <c r="B673" s="572"/>
      <c r="C673" s="573"/>
      <c r="D673" s="574"/>
      <c r="E673" s="575"/>
      <c r="F673" s="575"/>
      <c r="G673" s="574"/>
      <c r="H673" s="574"/>
    </row>
    <row r="674" customFormat="false" ht="21" hidden="false" customHeight="true" outlineLevel="0" collapsed="false">
      <c r="B674" s="572"/>
      <c r="C674" s="573"/>
      <c r="D674" s="574"/>
      <c r="E674" s="575"/>
      <c r="F674" s="575"/>
      <c r="G674" s="574"/>
      <c r="H674" s="574"/>
    </row>
    <row r="675" customFormat="false" ht="21" hidden="false" customHeight="true" outlineLevel="0" collapsed="false">
      <c r="B675" s="572"/>
      <c r="C675" s="573"/>
      <c r="D675" s="574"/>
      <c r="E675" s="575"/>
      <c r="F675" s="575"/>
      <c r="G675" s="574"/>
      <c r="H675" s="574"/>
    </row>
    <row r="676" customFormat="false" ht="21" hidden="false" customHeight="true" outlineLevel="0" collapsed="false">
      <c r="B676" s="572"/>
      <c r="C676" s="573"/>
      <c r="D676" s="574"/>
      <c r="E676" s="575"/>
      <c r="F676" s="575"/>
      <c r="G676" s="574"/>
      <c r="H676" s="574"/>
    </row>
    <row r="677" customFormat="false" ht="21" hidden="false" customHeight="true" outlineLevel="0" collapsed="false">
      <c r="B677" s="572"/>
      <c r="C677" s="573"/>
      <c r="D677" s="574"/>
      <c r="E677" s="575"/>
      <c r="F677" s="575"/>
      <c r="G677" s="574"/>
      <c r="H677" s="574"/>
    </row>
    <row r="678" customFormat="false" ht="21" hidden="false" customHeight="true" outlineLevel="0" collapsed="false">
      <c r="B678" s="572"/>
      <c r="C678" s="573"/>
      <c r="D678" s="574"/>
      <c r="E678" s="575"/>
      <c r="F678" s="575"/>
      <c r="G678" s="574"/>
      <c r="H678" s="574"/>
    </row>
    <row r="679" customFormat="false" ht="21" hidden="false" customHeight="true" outlineLevel="0" collapsed="false">
      <c r="B679" s="572"/>
      <c r="C679" s="573"/>
      <c r="D679" s="574"/>
      <c r="E679" s="575"/>
      <c r="F679" s="575"/>
      <c r="G679" s="574"/>
      <c r="H679" s="574"/>
    </row>
    <row r="680" customFormat="false" ht="21" hidden="false" customHeight="true" outlineLevel="0" collapsed="false">
      <c r="B680" s="572"/>
      <c r="C680" s="573"/>
      <c r="D680" s="574"/>
      <c r="E680" s="575"/>
      <c r="F680" s="575"/>
      <c r="G680" s="574"/>
      <c r="H680" s="574"/>
    </row>
    <row r="681" customFormat="false" ht="21" hidden="false" customHeight="true" outlineLevel="0" collapsed="false">
      <c r="B681" s="572"/>
      <c r="C681" s="573"/>
      <c r="D681" s="574"/>
      <c r="E681" s="575"/>
      <c r="F681" s="575"/>
      <c r="G681" s="574"/>
      <c r="H681" s="574"/>
    </row>
    <row r="682" customFormat="false" ht="21" hidden="false" customHeight="true" outlineLevel="0" collapsed="false">
      <c r="B682" s="572"/>
      <c r="C682" s="573"/>
      <c r="D682" s="574"/>
      <c r="E682" s="575"/>
      <c r="F682" s="575"/>
      <c r="G682" s="574"/>
      <c r="H682" s="574"/>
    </row>
    <row r="683" customFormat="false" ht="21" hidden="false" customHeight="true" outlineLevel="0" collapsed="false">
      <c r="B683" s="572"/>
      <c r="C683" s="573"/>
      <c r="D683" s="574"/>
      <c r="E683" s="575"/>
      <c r="F683" s="575"/>
      <c r="G683" s="574"/>
      <c r="H683" s="574"/>
    </row>
    <row r="684" customFormat="false" ht="21" hidden="false" customHeight="true" outlineLevel="0" collapsed="false">
      <c r="B684" s="572"/>
      <c r="C684" s="573"/>
      <c r="D684" s="574"/>
      <c r="E684" s="575"/>
      <c r="F684" s="575"/>
      <c r="G684" s="574"/>
      <c r="H684" s="574"/>
    </row>
    <row r="685" customFormat="false" ht="21" hidden="false" customHeight="true" outlineLevel="0" collapsed="false">
      <c r="B685" s="572"/>
      <c r="C685" s="573"/>
      <c r="D685" s="574"/>
      <c r="E685" s="575"/>
      <c r="F685" s="575"/>
      <c r="G685" s="574"/>
      <c r="H685" s="574"/>
    </row>
    <row r="686" customFormat="false" ht="21" hidden="false" customHeight="true" outlineLevel="0" collapsed="false">
      <c r="B686" s="572"/>
      <c r="C686" s="573"/>
      <c r="D686" s="574"/>
      <c r="E686" s="575"/>
      <c r="F686" s="575"/>
      <c r="G686" s="574"/>
      <c r="H686" s="574"/>
    </row>
    <row r="687" customFormat="false" ht="21" hidden="false" customHeight="true" outlineLevel="0" collapsed="false">
      <c r="B687" s="572"/>
      <c r="C687" s="573"/>
      <c r="D687" s="574"/>
      <c r="E687" s="575"/>
      <c r="F687" s="575"/>
      <c r="G687" s="574"/>
      <c r="H687" s="574"/>
    </row>
    <row r="688" customFormat="false" ht="21" hidden="false" customHeight="true" outlineLevel="0" collapsed="false">
      <c r="B688" s="572"/>
      <c r="C688" s="573"/>
      <c r="D688" s="574"/>
      <c r="E688" s="575"/>
      <c r="F688" s="575"/>
      <c r="G688" s="574"/>
      <c r="H688" s="574"/>
    </row>
    <row r="689" customFormat="false" ht="21" hidden="false" customHeight="true" outlineLevel="0" collapsed="false">
      <c r="B689" s="572"/>
      <c r="C689" s="573"/>
      <c r="D689" s="574"/>
      <c r="E689" s="575"/>
      <c r="F689" s="575"/>
      <c r="G689" s="574"/>
      <c r="H689" s="574"/>
    </row>
    <row r="690" customFormat="false" ht="21" hidden="false" customHeight="true" outlineLevel="0" collapsed="false">
      <c r="B690" s="572"/>
      <c r="C690" s="573"/>
      <c r="D690" s="574"/>
      <c r="E690" s="575"/>
      <c r="F690" s="575"/>
      <c r="G690" s="574"/>
      <c r="H690" s="574"/>
    </row>
    <row r="691" customFormat="false" ht="21" hidden="false" customHeight="true" outlineLevel="0" collapsed="false">
      <c r="B691" s="572"/>
      <c r="C691" s="573"/>
      <c r="D691" s="574"/>
      <c r="E691" s="575"/>
      <c r="F691" s="575"/>
      <c r="G691" s="574"/>
      <c r="H691" s="574"/>
    </row>
    <row r="692" customFormat="false" ht="21" hidden="false" customHeight="true" outlineLevel="0" collapsed="false">
      <c r="B692" s="572"/>
      <c r="C692" s="573"/>
      <c r="D692" s="574"/>
      <c r="E692" s="575"/>
      <c r="F692" s="575"/>
      <c r="G692" s="574"/>
      <c r="H692" s="574"/>
    </row>
    <row r="693" customFormat="false" ht="21" hidden="false" customHeight="true" outlineLevel="0" collapsed="false">
      <c r="B693" s="572"/>
      <c r="C693" s="573"/>
      <c r="D693" s="574"/>
      <c r="E693" s="575"/>
      <c r="F693" s="575"/>
      <c r="G693" s="574"/>
      <c r="H693" s="574"/>
    </row>
    <row r="694" customFormat="false" ht="21" hidden="false" customHeight="true" outlineLevel="0" collapsed="false">
      <c r="B694" s="572"/>
      <c r="C694" s="573"/>
      <c r="D694" s="574"/>
      <c r="E694" s="575"/>
      <c r="F694" s="575"/>
      <c r="G694" s="574"/>
      <c r="H694" s="574"/>
    </row>
    <row r="695" customFormat="false" ht="21" hidden="false" customHeight="true" outlineLevel="0" collapsed="false">
      <c r="B695" s="572"/>
      <c r="C695" s="573"/>
      <c r="D695" s="574"/>
      <c r="E695" s="575"/>
      <c r="F695" s="575"/>
      <c r="G695" s="574"/>
      <c r="H695" s="574"/>
    </row>
    <row r="696" customFormat="false" ht="21" hidden="false" customHeight="true" outlineLevel="0" collapsed="false">
      <c r="B696" s="572"/>
      <c r="C696" s="573"/>
      <c r="D696" s="574"/>
      <c r="E696" s="575"/>
      <c r="F696" s="575"/>
      <c r="G696" s="574"/>
      <c r="H696" s="574"/>
    </row>
    <row r="697" customFormat="false" ht="21" hidden="false" customHeight="true" outlineLevel="0" collapsed="false">
      <c r="B697" s="572"/>
      <c r="C697" s="573"/>
      <c r="D697" s="574"/>
      <c r="E697" s="575"/>
      <c r="F697" s="575"/>
      <c r="G697" s="574"/>
      <c r="H697" s="574"/>
    </row>
    <row r="698" customFormat="false" ht="21" hidden="false" customHeight="true" outlineLevel="0" collapsed="false">
      <c r="B698" s="572"/>
      <c r="C698" s="573"/>
      <c r="D698" s="574"/>
      <c r="E698" s="575"/>
      <c r="F698" s="575"/>
      <c r="G698" s="574"/>
      <c r="H698" s="574"/>
    </row>
    <row r="699" customFormat="false" ht="21" hidden="false" customHeight="true" outlineLevel="0" collapsed="false">
      <c r="B699" s="572"/>
      <c r="C699" s="573"/>
      <c r="D699" s="574"/>
      <c r="E699" s="575"/>
      <c r="F699" s="575"/>
      <c r="G699" s="574"/>
      <c r="H699" s="574"/>
    </row>
    <row r="700" customFormat="false" ht="21" hidden="false" customHeight="true" outlineLevel="0" collapsed="false">
      <c r="B700" s="572"/>
      <c r="C700" s="573"/>
      <c r="D700" s="574"/>
      <c r="E700" s="575"/>
      <c r="F700" s="575"/>
      <c r="G700" s="574"/>
      <c r="H700" s="574"/>
    </row>
    <row r="701" customFormat="false" ht="21" hidden="false" customHeight="true" outlineLevel="0" collapsed="false">
      <c r="B701" s="572"/>
      <c r="C701" s="573"/>
      <c r="D701" s="574"/>
      <c r="E701" s="575"/>
      <c r="F701" s="575"/>
      <c r="G701" s="574"/>
      <c r="H701" s="574"/>
    </row>
    <row r="702" customFormat="false" ht="21" hidden="false" customHeight="true" outlineLevel="0" collapsed="false">
      <c r="B702" s="572"/>
      <c r="C702" s="573"/>
      <c r="D702" s="574"/>
      <c r="E702" s="575"/>
      <c r="F702" s="575"/>
      <c r="G702" s="574"/>
      <c r="H702" s="574"/>
    </row>
    <row r="703" customFormat="false" ht="21" hidden="false" customHeight="true" outlineLevel="0" collapsed="false">
      <c r="B703" s="572"/>
      <c r="C703" s="573"/>
      <c r="D703" s="574"/>
      <c r="E703" s="575"/>
      <c r="F703" s="575"/>
      <c r="G703" s="574"/>
      <c r="H703" s="574"/>
    </row>
    <row r="704" customFormat="false" ht="21" hidden="false" customHeight="true" outlineLevel="0" collapsed="false">
      <c r="B704" s="572"/>
      <c r="C704" s="573"/>
      <c r="D704" s="574"/>
      <c r="E704" s="575"/>
      <c r="F704" s="575"/>
      <c r="G704" s="574"/>
      <c r="H704" s="574"/>
    </row>
    <row r="705" customFormat="false" ht="21" hidden="false" customHeight="true" outlineLevel="0" collapsed="false">
      <c r="B705" s="572"/>
      <c r="C705" s="573"/>
      <c r="D705" s="574"/>
      <c r="E705" s="575"/>
      <c r="F705" s="575"/>
      <c r="G705" s="574"/>
      <c r="H705" s="574"/>
    </row>
    <row r="706" customFormat="false" ht="21" hidden="false" customHeight="true" outlineLevel="0" collapsed="false">
      <c r="B706" s="572"/>
      <c r="C706" s="573"/>
      <c r="D706" s="574"/>
      <c r="E706" s="575"/>
      <c r="F706" s="575"/>
      <c r="G706" s="574"/>
      <c r="H706" s="574"/>
    </row>
    <row r="707" customFormat="false" ht="21" hidden="false" customHeight="true" outlineLevel="0" collapsed="false">
      <c r="B707" s="572"/>
      <c r="C707" s="573"/>
      <c r="D707" s="574"/>
      <c r="E707" s="575"/>
      <c r="F707" s="575"/>
      <c r="G707" s="574"/>
      <c r="H707" s="574"/>
    </row>
    <row r="708" customFormat="false" ht="21" hidden="false" customHeight="true" outlineLevel="0" collapsed="false">
      <c r="B708" s="572"/>
      <c r="C708" s="573"/>
      <c r="D708" s="574"/>
      <c r="E708" s="575"/>
      <c r="F708" s="575"/>
      <c r="G708" s="574"/>
      <c r="H708" s="574"/>
    </row>
    <row r="709" customFormat="false" ht="21" hidden="false" customHeight="true" outlineLevel="0" collapsed="false">
      <c r="B709" s="572"/>
      <c r="C709" s="573"/>
      <c r="D709" s="574"/>
      <c r="E709" s="575"/>
      <c r="F709" s="575"/>
      <c r="G709" s="574"/>
      <c r="H709" s="574"/>
    </row>
    <row r="710" customFormat="false" ht="21" hidden="false" customHeight="true" outlineLevel="0" collapsed="false">
      <c r="B710" s="572"/>
      <c r="C710" s="573"/>
      <c r="D710" s="574"/>
      <c r="E710" s="575"/>
      <c r="F710" s="575"/>
      <c r="G710" s="574"/>
      <c r="H710" s="574"/>
    </row>
    <row r="711" customFormat="false" ht="21" hidden="false" customHeight="true" outlineLevel="0" collapsed="false">
      <c r="B711" s="572"/>
      <c r="C711" s="573"/>
      <c r="D711" s="574"/>
      <c r="E711" s="575"/>
      <c r="F711" s="575"/>
      <c r="G711" s="574"/>
      <c r="H711" s="574"/>
    </row>
    <row r="712" customFormat="false" ht="21" hidden="false" customHeight="true" outlineLevel="0" collapsed="false">
      <c r="B712" s="572"/>
      <c r="C712" s="573"/>
      <c r="D712" s="574"/>
      <c r="E712" s="575"/>
      <c r="F712" s="575"/>
      <c r="G712" s="574"/>
      <c r="H712" s="574"/>
    </row>
    <row r="713" customFormat="false" ht="21" hidden="false" customHeight="true" outlineLevel="0" collapsed="false">
      <c r="B713" s="572"/>
      <c r="C713" s="573"/>
      <c r="D713" s="574"/>
      <c r="E713" s="575"/>
      <c r="F713" s="575"/>
      <c r="G713" s="574"/>
      <c r="H713" s="574"/>
    </row>
    <row r="714" customFormat="false" ht="21" hidden="false" customHeight="true" outlineLevel="0" collapsed="false">
      <c r="B714" s="572"/>
      <c r="C714" s="573"/>
      <c r="D714" s="574"/>
      <c r="E714" s="575"/>
      <c r="F714" s="575"/>
      <c r="G714" s="574"/>
      <c r="H714" s="574"/>
    </row>
    <row r="715" customFormat="false" ht="21" hidden="false" customHeight="true" outlineLevel="0" collapsed="false">
      <c r="B715" s="572"/>
      <c r="C715" s="573"/>
      <c r="D715" s="574"/>
      <c r="E715" s="575"/>
      <c r="F715" s="575"/>
      <c r="G715" s="574"/>
      <c r="H715" s="574"/>
    </row>
    <row r="716" customFormat="false" ht="21" hidden="false" customHeight="true" outlineLevel="0" collapsed="false">
      <c r="B716" s="572"/>
      <c r="C716" s="573"/>
      <c r="D716" s="574"/>
      <c r="E716" s="575"/>
      <c r="F716" s="575"/>
      <c r="G716" s="574"/>
      <c r="H716" s="574"/>
    </row>
    <row r="717" customFormat="false" ht="21" hidden="false" customHeight="true" outlineLevel="0" collapsed="false">
      <c r="B717" s="572"/>
      <c r="C717" s="573"/>
      <c r="D717" s="574"/>
      <c r="E717" s="575"/>
      <c r="F717" s="575"/>
      <c r="G717" s="574"/>
      <c r="H717" s="574"/>
    </row>
    <row r="718" customFormat="false" ht="21" hidden="false" customHeight="true" outlineLevel="0" collapsed="false">
      <c r="B718" s="572"/>
      <c r="C718" s="573"/>
      <c r="D718" s="574"/>
      <c r="E718" s="575"/>
      <c r="F718" s="575"/>
      <c r="G718" s="574"/>
      <c r="H718" s="574"/>
    </row>
    <row r="719" customFormat="false" ht="21" hidden="false" customHeight="true" outlineLevel="0" collapsed="false">
      <c r="B719" s="572"/>
      <c r="C719" s="573"/>
      <c r="D719" s="574"/>
      <c r="E719" s="575"/>
      <c r="F719" s="575"/>
      <c r="G719" s="574"/>
      <c r="H719" s="574"/>
    </row>
    <row r="720" customFormat="false" ht="21" hidden="false" customHeight="true" outlineLevel="0" collapsed="false">
      <c r="B720" s="572"/>
      <c r="C720" s="573"/>
      <c r="D720" s="574"/>
      <c r="E720" s="575"/>
      <c r="F720" s="575"/>
      <c r="G720" s="574"/>
      <c r="H720" s="574"/>
    </row>
    <row r="721" customFormat="false" ht="21" hidden="false" customHeight="true" outlineLevel="0" collapsed="false">
      <c r="B721" s="572"/>
      <c r="C721" s="573"/>
      <c r="D721" s="574"/>
      <c r="E721" s="575"/>
      <c r="F721" s="575"/>
      <c r="G721" s="574"/>
      <c r="H721" s="574"/>
    </row>
    <row r="722" customFormat="false" ht="21" hidden="false" customHeight="true" outlineLevel="0" collapsed="false">
      <c r="B722" s="572"/>
      <c r="C722" s="573"/>
      <c r="D722" s="574"/>
      <c r="E722" s="575"/>
      <c r="F722" s="575"/>
      <c r="G722" s="574"/>
      <c r="H722" s="574"/>
    </row>
    <row r="723" customFormat="false" ht="21" hidden="false" customHeight="true" outlineLevel="0" collapsed="false">
      <c r="B723" s="572"/>
      <c r="C723" s="573"/>
      <c r="D723" s="574"/>
      <c r="E723" s="575"/>
      <c r="F723" s="575"/>
      <c r="G723" s="574"/>
      <c r="H723" s="574"/>
    </row>
    <row r="724" customFormat="false" ht="21" hidden="false" customHeight="true" outlineLevel="0" collapsed="false">
      <c r="B724" s="572"/>
      <c r="C724" s="573"/>
      <c r="D724" s="574"/>
      <c r="E724" s="575"/>
      <c r="F724" s="575"/>
      <c r="G724" s="574"/>
      <c r="H724" s="574"/>
    </row>
    <row r="725" customFormat="false" ht="21" hidden="false" customHeight="true" outlineLevel="0" collapsed="false">
      <c r="B725" s="572"/>
      <c r="C725" s="573"/>
      <c r="D725" s="574"/>
      <c r="E725" s="575"/>
      <c r="F725" s="575"/>
      <c r="G725" s="574"/>
      <c r="H725" s="574"/>
    </row>
    <row r="726" customFormat="false" ht="21" hidden="false" customHeight="true" outlineLevel="0" collapsed="false">
      <c r="B726" s="572"/>
      <c r="C726" s="573"/>
      <c r="D726" s="574"/>
      <c r="E726" s="575"/>
      <c r="F726" s="575"/>
      <c r="G726" s="574"/>
      <c r="H726" s="574"/>
    </row>
    <row r="727" customFormat="false" ht="21" hidden="false" customHeight="true" outlineLevel="0" collapsed="false">
      <c r="B727" s="572"/>
      <c r="C727" s="573"/>
      <c r="D727" s="574"/>
      <c r="E727" s="575"/>
      <c r="F727" s="575"/>
      <c r="G727" s="574"/>
      <c r="H727" s="574"/>
    </row>
    <row r="728" customFormat="false" ht="21" hidden="false" customHeight="true" outlineLevel="0" collapsed="false">
      <c r="B728" s="572"/>
      <c r="C728" s="573"/>
      <c r="D728" s="574"/>
      <c r="E728" s="575"/>
      <c r="F728" s="575"/>
      <c r="G728" s="574"/>
      <c r="H728" s="574"/>
    </row>
    <row r="729" customFormat="false" ht="21" hidden="false" customHeight="true" outlineLevel="0" collapsed="false">
      <c r="B729" s="572"/>
      <c r="C729" s="573"/>
      <c r="D729" s="574"/>
      <c r="E729" s="575"/>
      <c r="F729" s="575"/>
      <c r="G729" s="574"/>
      <c r="H729" s="574"/>
    </row>
    <row r="730" customFormat="false" ht="21" hidden="false" customHeight="true" outlineLevel="0" collapsed="false">
      <c r="B730" s="572"/>
      <c r="C730" s="573"/>
      <c r="D730" s="574"/>
      <c r="E730" s="575"/>
      <c r="F730" s="575"/>
      <c r="G730" s="574"/>
      <c r="H730" s="574"/>
    </row>
    <row r="731" customFormat="false" ht="21" hidden="false" customHeight="true" outlineLevel="0" collapsed="false">
      <c r="B731" s="572"/>
      <c r="C731" s="573"/>
      <c r="D731" s="574"/>
      <c r="E731" s="575"/>
      <c r="F731" s="575"/>
      <c r="G731" s="574"/>
      <c r="H731" s="574"/>
    </row>
    <row r="732" customFormat="false" ht="21" hidden="false" customHeight="true" outlineLevel="0" collapsed="false">
      <c r="B732" s="572"/>
      <c r="C732" s="573"/>
      <c r="D732" s="574"/>
      <c r="E732" s="575"/>
      <c r="F732" s="575"/>
      <c r="G732" s="574"/>
      <c r="H732" s="574"/>
    </row>
    <row r="733" customFormat="false" ht="21" hidden="false" customHeight="true" outlineLevel="0" collapsed="false">
      <c r="B733" s="572"/>
      <c r="C733" s="573"/>
      <c r="D733" s="574"/>
      <c r="E733" s="575"/>
      <c r="F733" s="575"/>
      <c r="G733" s="574"/>
      <c r="H733" s="574"/>
    </row>
    <row r="734" customFormat="false" ht="21" hidden="false" customHeight="true" outlineLevel="0" collapsed="false">
      <c r="B734" s="572"/>
      <c r="C734" s="573"/>
      <c r="D734" s="574"/>
      <c r="E734" s="575"/>
      <c r="F734" s="575"/>
      <c r="G734" s="574"/>
      <c r="H734" s="574"/>
    </row>
    <row r="735" customFormat="false" ht="21" hidden="false" customHeight="true" outlineLevel="0" collapsed="false">
      <c r="B735" s="572"/>
      <c r="C735" s="573"/>
      <c r="D735" s="574"/>
      <c r="E735" s="575"/>
      <c r="F735" s="575"/>
      <c r="G735" s="574"/>
      <c r="H735" s="574"/>
    </row>
    <row r="736" customFormat="false" ht="21" hidden="false" customHeight="true" outlineLevel="0" collapsed="false">
      <c r="B736" s="572"/>
      <c r="C736" s="573"/>
      <c r="D736" s="574"/>
      <c r="E736" s="575"/>
      <c r="F736" s="575"/>
      <c r="G736" s="574"/>
      <c r="H736" s="574"/>
    </row>
    <row r="737" customFormat="false" ht="21" hidden="false" customHeight="true" outlineLevel="0" collapsed="false">
      <c r="B737" s="572"/>
      <c r="C737" s="573"/>
      <c r="D737" s="574"/>
      <c r="E737" s="575"/>
      <c r="F737" s="575"/>
      <c r="G737" s="574"/>
      <c r="H737" s="574"/>
    </row>
    <row r="738" customFormat="false" ht="21" hidden="false" customHeight="true" outlineLevel="0" collapsed="false">
      <c r="B738" s="572"/>
      <c r="C738" s="573"/>
      <c r="D738" s="574"/>
      <c r="E738" s="575"/>
      <c r="F738" s="575"/>
      <c r="G738" s="574"/>
      <c r="H738" s="574"/>
    </row>
    <row r="739" customFormat="false" ht="21" hidden="false" customHeight="true" outlineLevel="0" collapsed="false">
      <c r="B739" s="572"/>
      <c r="C739" s="573"/>
      <c r="D739" s="574"/>
      <c r="E739" s="575"/>
      <c r="F739" s="575"/>
      <c r="G739" s="574"/>
      <c r="H739" s="574"/>
    </row>
    <row r="740" customFormat="false" ht="21" hidden="false" customHeight="true" outlineLevel="0" collapsed="false">
      <c r="B740" s="572"/>
      <c r="C740" s="573"/>
      <c r="D740" s="574"/>
      <c r="E740" s="575"/>
      <c r="F740" s="575"/>
      <c r="G740" s="574"/>
      <c r="H740" s="574"/>
    </row>
    <row r="741" customFormat="false" ht="21" hidden="false" customHeight="true" outlineLevel="0" collapsed="false">
      <c r="B741" s="572"/>
      <c r="C741" s="573"/>
      <c r="D741" s="574"/>
      <c r="E741" s="575"/>
      <c r="F741" s="575"/>
      <c r="G741" s="574"/>
      <c r="H741" s="574"/>
    </row>
    <row r="742" customFormat="false" ht="21" hidden="false" customHeight="true" outlineLevel="0" collapsed="false">
      <c r="B742" s="572"/>
      <c r="C742" s="573"/>
      <c r="D742" s="574"/>
      <c r="E742" s="575"/>
      <c r="F742" s="575"/>
      <c r="G742" s="574"/>
      <c r="H742" s="574"/>
    </row>
    <row r="743" customFormat="false" ht="21" hidden="false" customHeight="true" outlineLevel="0" collapsed="false">
      <c r="B743" s="572"/>
      <c r="C743" s="573"/>
      <c r="D743" s="574"/>
      <c r="E743" s="575"/>
      <c r="F743" s="575"/>
      <c r="G743" s="574"/>
      <c r="H743" s="574"/>
    </row>
    <row r="744" customFormat="false" ht="21" hidden="false" customHeight="true" outlineLevel="0" collapsed="false">
      <c r="B744" s="572"/>
      <c r="C744" s="573"/>
      <c r="D744" s="574"/>
      <c r="E744" s="575"/>
      <c r="F744" s="575"/>
      <c r="G744" s="574"/>
      <c r="H744" s="574"/>
    </row>
    <row r="745" customFormat="false" ht="21" hidden="false" customHeight="true" outlineLevel="0" collapsed="false">
      <c r="B745" s="572"/>
      <c r="C745" s="573"/>
      <c r="D745" s="574"/>
      <c r="E745" s="575"/>
      <c r="F745" s="575"/>
      <c r="G745" s="574"/>
      <c r="H745" s="574"/>
    </row>
    <row r="746" customFormat="false" ht="21" hidden="false" customHeight="true" outlineLevel="0" collapsed="false">
      <c r="B746" s="572"/>
      <c r="C746" s="573"/>
      <c r="D746" s="574"/>
      <c r="E746" s="575"/>
      <c r="F746" s="575"/>
      <c r="G746" s="574"/>
      <c r="H746" s="574"/>
    </row>
    <row r="747" customFormat="false" ht="21" hidden="false" customHeight="true" outlineLevel="0" collapsed="false">
      <c r="B747" s="572"/>
      <c r="C747" s="573"/>
      <c r="D747" s="574"/>
      <c r="E747" s="575"/>
      <c r="F747" s="575"/>
      <c r="G747" s="574"/>
      <c r="H747" s="574"/>
    </row>
    <row r="748" customFormat="false" ht="21" hidden="false" customHeight="true" outlineLevel="0" collapsed="false">
      <c r="B748" s="572"/>
      <c r="C748" s="573"/>
      <c r="D748" s="574"/>
      <c r="E748" s="575"/>
      <c r="F748" s="575"/>
      <c r="G748" s="574"/>
      <c r="H748" s="574"/>
    </row>
    <row r="749" customFormat="false" ht="21" hidden="false" customHeight="true" outlineLevel="0" collapsed="false">
      <c r="B749" s="572"/>
      <c r="C749" s="573"/>
      <c r="D749" s="574"/>
      <c r="E749" s="575"/>
      <c r="F749" s="575"/>
      <c r="G749" s="574"/>
      <c r="H749" s="574"/>
    </row>
    <row r="750" customFormat="false" ht="21" hidden="false" customHeight="true" outlineLevel="0" collapsed="false">
      <c r="B750" s="572"/>
      <c r="C750" s="573"/>
      <c r="D750" s="574"/>
      <c r="E750" s="575"/>
      <c r="F750" s="575"/>
      <c r="G750" s="574"/>
      <c r="H750" s="574"/>
    </row>
    <row r="751" customFormat="false" ht="21" hidden="false" customHeight="true" outlineLevel="0" collapsed="false">
      <c r="B751" s="572"/>
      <c r="C751" s="573"/>
      <c r="D751" s="574"/>
      <c r="E751" s="575"/>
      <c r="F751" s="575"/>
      <c r="G751" s="574"/>
      <c r="H751" s="574"/>
    </row>
    <row r="752" customFormat="false" ht="21" hidden="false" customHeight="true" outlineLevel="0" collapsed="false">
      <c r="B752" s="572"/>
      <c r="C752" s="573"/>
      <c r="D752" s="574"/>
      <c r="E752" s="575"/>
      <c r="F752" s="575"/>
      <c r="G752" s="574"/>
      <c r="H752" s="574"/>
    </row>
    <row r="753" customFormat="false" ht="21" hidden="false" customHeight="true" outlineLevel="0" collapsed="false">
      <c r="B753" s="572"/>
      <c r="C753" s="573"/>
      <c r="D753" s="574"/>
      <c r="E753" s="575"/>
      <c r="F753" s="575"/>
      <c r="G753" s="574"/>
      <c r="H753" s="574"/>
    </row>
    <row r="754" customFormat="false" ht="21" hidden="false" customHeight="true" outlineLevel="0" collapsed="false">
      <c r="B754" s="572"/>
      <c r="C754" s="573"/>
      <c r="D754" s="574"/>
      <c r="E754" s="575"/>
      <c r="F754" s="575"/>
      <c r="G754" s="574"/>
      <c r="H754" s="574"/>
    </row>
    <row r="755" customFormat="false" ht="21" hidden="false" customHeight="true" outlineLevel="0" collapsed="false">
      <c r="B755" s="572"/>
      <c r="C755" s="573"/>
      <c r="D755" s="574"/>
      <c r="E755" s="575"/>
      <c r="F755" s="575"/>
      <c r="G755" s="574"/>
      <c r="H755" s="574"/>
    </row>
    <row r="756" customFormat="false" ht="21" hidden="false" customHeight="true" outlineLevel="0" collapsed="false">
      <c r="B756" s="572"/>
      <c r="C756" s="573"/>
      <c r="D756" s="574"/>
      <c r="E756" s="575"/>
      <c r="F756" s="575"/>
      <c r="G756" s="574"/>
      <c r="H756" s="574"/>
    </row>
    <row r="757" customFormat="false" ht="21" hidden="false" customHeight="true" outlineLevel="0" collapsed="false">
      <c r="B757" s="572"/>
      <c r="C757" s="573"/>
      <c r="D757" s="574"/>
      <c r="E757" s="575"/>
      <c r="F757" s="575"/>
      <c r="G757" s="574"/>
      <c r="H757" s="574"/>
    </row>
    <row r="758" customFormat="false" ht="21" hidden="false" customHeight="true" outlineLevel="0" collapsed="false">
      <c r="B758" s="572"/>
      <c r="C758" s="573"/>
      <c r="D758" s="574"/>
      <c r="E758" s="575"/>
      <c r="F758" s="575"/>
      <c r="G758" s="574"/>
      <c r="H758" s="574"/>
    </row>
    <row r="759" customFormat="false" ht="21" hidden="false" customHeight="true" outlineLevel="0" collapsed="false">
      <c r="B759" s="572"/>
      <c r="C759" s="573"/>
      <c r="D759" s="574"/>
      <c r="E759" s="575"/>
      <c r="F759" s="575"/>
      <c r="G759" s="574"/>
      <c r="H759" s="574"/>
    </row>
    <row r="760" customFormat="false" ht="21" hidden="false" customHeight="true" outlineLevel="0" collapsed="false">
      <c r="B760" s="572"/>
      <c r="C760" s="573"/>
      <c r="D760" s="574"/>
      <c r="E760" s="575"/>
      <c r="F760" s="575"/>
      <c r="G760" s="574"/>
      <c r="H760" s="574"/>
    </row>
    <row r="761" customFormat="false" ht="21" hidden="false" customHeight="true" outlineLevel="0" collapsed="false">
      <c r="B761" s="572"/>
      <c r="C761" s="573"/>
      <c r="D761" s="574"/>
      <c r="E761" s="575"/>
      <c r="F761" s="575"/>
      <c r="G761" s="574"/>
      <c r="H761" s="574"/>
    </row>
    <row r="762" customFormat="false" ht="21" hidden="false" customHeight="true" outlineLevel="0" collapsed="false">
      <c r="B762" s="572"/>
      <c r="C762" s="573"/>
      <c r="D762" s="574"/>
      <c r="E762" s="575"/>
      <c r="F762" s="575"/>
      <c r="G762" s="574"/>
      <c r="H762" s="574"/>
    </row>
    <row r="763" customFormat="false" ht="21" hidden="false" customHeight="true" outlineLevel="0" collapsed="false">
      <c r="B763" s="572"/>
      <c r="C763" s="573"/>
      <c r="D763" s="574"/>
      <c r="E763" s="575"/>
      <c r="F763" s="575"/>
      <c r="G763" s="574"/>
      <c r="H763" s="574"/>
    </row>
    <row r="764" customFormat="false" ht="21" hidden="false" customHeight="true" outlineLevel="0" collapsed="false">
      <c r="B764" s="572"/>
      <c r="C764" s="573"/>
      <c r="D764" s="574"/>
      <c r="E764" s="575"/>
      <c r="F764" s="575"/>
      <c r="G764" s="574"/>
      <c r="H764" s="574"/>
    </row>
    <row r="765" customFormat="false" ht="21" hidden="false" customHeight="true" outlineLevel="0" collapsed="false">
      <c r="B765" s="572"/>
      <c r="C765" s="573"/>
      <c r="D765" s="574"/>
      <c r="E765" s="575"/>
      <c r="F765" s="575"/>
      <c r="G765" s="574"/>
      <c r="H765" s="574"/>
    </row>
    <row r="766" customFormat="false" ht="21" hidden="false" customHeight="true" outlineLevel="0" collapsed="false">
      <c r="B766" s="572"/>
      <c r="C766" s="573"/>
      <c r="D766" s="574"/>
      <c r="E766" s="575"/>
      <c r="F766" s="575"/>
      <c r="G766" s="574"/>
      <c r="H766" s="574"/>
    </row>
    <row r="767" customFormat="false" ht="21" hidden="false" customHeight="true" outlineLevel="0" collapsed="false">
      <c r="B767" s="572"/>
      <c r="C767" s="573"/>
      <c r="D767" s="574"/>
      <c r="E767" s="575"/>
      <c r="F767" s="575"/>
      <c r="G767" s="574"/>
      <c r="H767" s="574"/>
    </row>
    <row r="768" customFormat="false" ht="21" hidden="false" customHeight="true" outlineLevel="0" collapsed="false">
      <c r="B768" s="572"/>
      <c r="C768" s="573"/>
      <c r="D768" s="574"/>
      <c r="E768" s="575"/>
      <c r="F768" s="575"/>
      <c r="G768" s="574"/>
      <c r="H768" s="574"/>
    </row>
    <row r="769" customFormat="false" ht="21" hidden="false" customHeight="true" outlineLevel="0" collapsed="false">
      <c r="B769" s="572"/>
      <c r="C769" s="573"/>
      <c r="D769" s="574"/>
      <c r="E769" s="575"/>
      <c r="F769" s="575"/>
      <c r="G769" s="574"/>
      <c r="H769" s="574"/>
    </row>
    <row r="770" customFormat="false" ht="21" hidden="false" customHeight="true" outlineLevel="0" collapsed="false">
      <c r="B770" s="572"/>
      <c r="C770" s="573"/>
      <c r="D770" s="574"/>
      <c r="E770" s="575"/>
      <c r="F770" s="575"/>
      <c r="G770" s="574"/>
      <c r="H770" s="574"/>
    </row>
    <row r="771" customFormat="false" ht="21" hidden="false" customHeight="true" outlineLevel="0" collapsed="false">
      <c r="B771" s="572"/>
      <c r="C771" s="573"/>
      <c r="D771" s="574"/>
      <c r="E771" s="575"/>
      <c r="F771" s="575"/>
      <c r="G771" s="574"/>
      <c r="H771" s="574"/>
    </row>
    <row r="772" customFormat="false" ht="21" hidden="false" customHeight="true" outlineLevel="0" collapsed="false">
      <c r="B772" s="572"/>
      <c r="C772" s="573"/>
      <c r="D772" s="574"/>
      <c r="E772" s="575"/>
      <c r="F772" s="575"/>
      <c r="G772" s="574"/>
      <c r="H772" s="574"/>
    </row>
    <row r="773" customFormat="false" ht="21" hidden="false" customHeight="true" outlineLevel="0" collapsed="false">
      <c r="B773" s="572"/>
      <c r="C773" s="573"/>
      <c r="D773" s="574"/>
      <c r="E773" s="575"/>
      <c r="F773" s="575"/>
      <c r="G773" s="574"/>
      <c r="H773" s="574"/>
    </row>
    <row r="774" customFormat="false" ht="21" hidden="false" customHeight="true" outlineLevel="0" collapsed="false">
      <c r="B774" s="572"/>
      <c r="C774" s="573"/>
      <c r="D774" s="574"/>
      <c r="E774" s="575"/>
      <c r="F774" s="575"/>
      <c r="G774" s="574"/>
      <c r="H774" s="574"/>
    </row>
    <row r="775" customFormat="false" ht="21" hidden="false" customHeight="true" outlineLevel="0" collapsed="false">
      <c r="B775" s="572"/>
      <c r="C775" s="573"/>
      <c r="D775" s="574"/>
      <c r="E775" s="575"/>
      <c r="F775" s="575"/>
      <c r="G775" s="574"/>
      <c r="H775" s="574"/>
    </row>
    <row r="776" customFormat="false" ht="21" hidden="false" customHeight="true" outlineLevel="0" collapsed="false">
      <c r="B776" s="572"/>
      <c r="C776" s="573"/>
      <c r="D776" s="574"/>
      <c r="E776" s="575"/>
      <c r="F776" s="575"/>
      <c r="G776" s="574"/>
      <c r="H776" s="574"/>
    </row>
    <row r="777" customFormat="false" ht="21" hidden="false" customHeight="true" outlineLevel="0" collapsed="false">
      <c r="B777" s="572"/>
      <c r="C777" s="573"/>
      <c r="D777" s="574"/>
      <c r="E777" s="575"/>
      <c r="F777" s="575"/>
      <c r="G777" s="574"/>
      <c r="H777" s="574"/>
    </row>
    <row r="778" customFormat="false" ht="21" hidden="false" customHeight="true" outlineLevel="0" collapsed="false">
      <c r="B778" s="572"/>
      <c r="C778" s="573"/>
      <c r="D778" s="574"/>
      <c r="E778" s="575"/>
      <c r="F778" s="575"/>
      <c r="G778" s="574"/>
      <c r="H778" s="574"/>
    </row>
    <row r="779" customFormat="false" ht="21" hidden="false" customHeight="true" outlineLevel="0" collapsed="false">
      <c r="B779" s="572"/>
      <c r="C779" s="573"/>
      <c r="D779" s="574"/>
      <c r="E779" s="575"/>
      <c r="F779" s="575"/>
      <c r="G779" s="574"/>
      <c r="H779" s="574"/>
    </row>
    <row r="780" customFormat="false" ht="21" hidden="false" customHeight="true" outlineLevel="0" collapsed="false">
      <c r="B780" s="572"/>
      <c r="C780" s="573"/>
      <c r="D780" s="574"/>
      <c r="E780" s="575"/>
      <c r="F780" s="575"/>
      <c r="G780" s="574"/>
      <c r="H780" s="574"/>
    </row>
    <row r="781" customFormat="false" ht="21" hidden="false" customHeight="true" outlineLevel="0" collapsed="false">
      <c r="B781" s="572"/>
      <c r="C781" s="573"/>
      <c r="D781" s="574"/>
      <c r="E781" s="575"/>
      <c r="F781" s="575"/>
      <c r="G781" s="574"/>
      <c r="H781" s="574"/>
    </row>
    <row r="782" customFormat="false" ht="21" hidden="false" customHeight="true" outlineLevel="0" collapsed="false">
      <c r="B782" s="572"/>
      <c r="C782" s="573"/>
      <c r="D782" s="574"/>
      <c r="E782" s="575"/>
      <c r="F782" s="575"/>
      <c r="G782" s="574"/>
      <c r="H782" s="574"/>
    </row>
    <row r="783" customFormat="false" ht="21" hidden="false" customHeight="true" outlineLevel="0" collapsed="false">
      <c r="B783" s="572"/>
      <c r="C783" s="573"/>
      <c r="D783" s="574"/>
      <c r="E783" s="575"/>
      <c r="F783" s="575"/>
      <c r="G783" s="574"/>
      <c r="H783" s="574"/>
    </row>
    <row r="784" customFormat="false" ht="21" hidden="false" customHeight="true" outlineLevel="0" collapsed="false">
      <c r="B784" s="572"/>
      <c r="C784" s="573"/>
      <c r="D784" s="574"/>
      <c r="E784" s="575"/>
      <c r="F784" s="575"/>
      <c r="G784" s="574"/>
      <c r="H784" s="574"/>
    </row>
    <row r="785" customFormat="false" ht="21" hidden="false" customHeight="true" outlineLevel="0" collapsed="false">
      <c r="B785" s="572"/>
      <c r="C785" s="573"/>
      <c r="D785" s="574"/>
      <c r="E785" s="575"/>
      <c r="F785" s="575"/>
      <c r="G785" s="574"/>
      <c r="H785" s="574"/>
    </row>
    <row r="786" customFormat="false" ht="21" hidden="false" customHeight="true" outlineLevel="0" collapsed="false">
      <c r="B786" s="572"/>
      <c r="C786" s="573"/>
      <c r="D786" s="574"/>
      <c r="E786" s="575"/>
      <c r="F786" s="575"/>
      <c r="G786" s="574"/>
      <c r="H786" s="574"/>
    </row>
    <row r="787" customFormat="false" ht="21" hidden="false" customHeight="true" outlineLevel="0" collapsed="false">
      <c r="B787" s="572"/>
      <c r="C787" s="573"/>
      <c r="D787" s="574"/>
      <c r="E787" s="575"/>
      <c r="F787" s="575"/>
      <c r="G787" s="574"/>
      <c r="H787" s="574"/>
    </row>
    <row r="788" customFormat="false" ht="21" hidden="false" customHeight="true" outlineLevel="0" collapsed="false">
      <c r="B788" s="572"/>
      <c r="C788" s="573"/>
      <c r="D788" s="574"/>
      <c r="E788" s="575"/>
      <c r="F788" s="575"/>
      <c r="G788" s="574"/>
      <c r="H788" s="574"/>
    </row>
    <row r="789" customFormat="false" ht="21" hidden="false" customHeight="true" outlineLevel="0" collapsed="false">
      <c r="B789" s="572"/>
      <c r="C789" s="573"/>
      <c r="D789" s="574"/>
      <c r="E789" s="575"/>
      <c r="F789" s="575"/>
      <c r="G789" s="574"/>
      <c r="H789" s="574"/>
    </row>
    <row r="790" customFormat="false" ht="21" hidden="false" customHeight="true" outlineLevel="0" collapsed="false">
      <c r="B790" s="572"/>
      <c r="C790" s="573"/>
      <c r="D790" s="574"/>
      <c r="E790" s="575"/>
      <c r="F790" s="575"/>
      <c r="G790" s="574"/>
      <c r="H790" s="574"/>
    </row>
    <row r="791" customFormat="false" ht="21" hidden="false" customHeight="true" outlineLevel="0" collapsed="false">
      <c r="B791" s="572"/>
      <c r="C791" s="573"/>
      <c r="D791" s="574"/>
      <c r="E791" s="575"/>
      <c r="F791" s="575"/>
      <c r="G791" s="574"/>
      <c r="H791" s="574"/>
    </row>
    <row r="792" customFormat="false" ht="21" hidden="false" customHeight="true" outlineLevel="0" collapsed="false">
      <c r="B792" s="572"/>
      <c r="C792" s="573"/>
      <c r="D792" s="574"/>
      <c r="E792" s="575"/>
      <c r="F792" s="575"/>
      <c r="G792" s="574"/>
      <c r="H792" s="574"/>
    </row>
    <row r="793" customFormat="false" ht="21" hidden="false" customHeight="true" outlineLevel="0" collapsed="false">
      <c r="B793" s="572"/>
      <c r="C793" s="573"/>
      <c r="D793" s="574"/>
      <c r="E793" s="575"/>
      <c r="F793" s="575"/>
      <c r="G793" s="574"/>
      <c r="H793" s="574"/>
    </row>
    <row r="794" customFormat="false" ht="21" hidden="false" customHeight="true" outlineLevel="0" collapsed="false">
      <c r="B794" s="572"/>
      <c r="C794" s="573"/>
      <c r="D794" s="574"/>
      <c r="E794" s="575"/>
      <c r="F794" s="575"/>
      <c r="G794" s="574"/>
      <c r="H794" s="574"/>
    </row>
    <row r="795" customFormat="false" ht="21" hidden="false" customHeight="true" outlineLevel="0" collapsed="false">
      <c r="B795" s="572"/>
      <c r="C795" s="573"/>
      <c r="D795" s="574"/>
      <c r="E795" s="575"/>
      <c r="F795" s="575"/>
      <c r="G795" s="574"/>
      <c r="H795" s="574"/>
    </row>
    <row r="796" customFormat="false" ht="21" hidden="false" customHeight="true" outlineLevel="0" collapsed="false">
      <c r="B796" s="572"/>
      <c r="C796" s="573"/>
      <c r="D796" s="574"/>
      <c r="E796" s="575"/>
      <c r="F796" s="575"/>
      <c r="G796" s="574"/>
      <c r="H796" s="574"/>
    </row>
    <row r="797" customFormat="false" ht="21" hidden="false" customHeight="true" outlineLevel="0" collapsed="false">
      <c r="B797" s="572"/>
      <c r="C797" s="573"/>
      <c r="D797" s="574"/>
      <c r="E797" s="575"/>
      <c r="F797" s="575"/>
      <c r="G797" s="574"/>
      <c r="H797" s="574"/>
    </row>
    <row r="798" customFormat="false" ht="21" hidden="false" customHeight="true" outlineLevel="0" collapsed="false">
      <c r="B798" s="572"/>
      <c r="C798" s="573"/>
      <c r="D798" s="574"/>
      <c r="E798" s="575"/>
      <c r="F798" s="575"/>
      <c r="G798" s="574"/>
      <c r="H798" s="574"/>
    </row>
    <row r="799" customFormat="false" ht="21" hidden="false" customHeight="true" outlineLevel="0" collapsed="false">
      <c r="B799" s="572"/>
      <c r="C799" s="573"/>
      <c r="D799" s="574"/>
      <c r="E799" s="575"/>
      <c r="F799" s="575"/>
      <c r="G799" s="574"/>
      <c r="H799" s="574"/>
    </row>
    <row r="800" customFormat="false" ht="21" hidden="false" customHeight="true" outlineLevel="0" collapsed="false">
      <c r="B800" s="572"/>
      <c r="C800" s="573"/>
      <c r="D800" s="574"/>
      <c r="E800" s="575"/>
      <c r="F800" s="575"/>
      <c r="G800" s="574"/>
      <c r="H800" s="574"/>
    </row>
    <row r="801" customFormat="false" ht="21" hidden="false" customHeight="true" outlineLevel="0" collapsed="false">
      <c r="B801" s="572"/>
      <c r="C801" s="573"/>
      <c r="D801" s="574"/>
      <c r="E801" s="575"/>
      <c r="F801" s="575"/>
      <c r="G801" s="574"/>
      <c r="H801" s="574"/>
    </row>
    <row r="802" customFormat="false" ht="21" hidden="false" customHeight="true" outlineLevel="0" collapsed="false">
      <c r="B802" s="572"/>
      <c r="C802" s="573"/>
      <c r="D802" s="574"/>
      <c r="E802" s="575"/>
      <c r="F802" s="575"/>
      <c r="G802" s="574"/>
      <c r="H802" s="574"/>
    </row>
    <row r="803" customFormat="false" ht="21" hidden="false" customHeight="true" outlineLevel="0" collapsed="false">
      <c r="B803" s="572"/>
      <c r="C803" s="573"/>
      <c r="D803" s="574"/>
      <c r="E803" s="575"/>
      <c r="F803" s="575"/>
      <c r="G803" s="574"/>
      <c r="H803" s="574"/>
    </row>
    <row r="804" customFormat="false" ht="21" hidden="false" customHeight="true" outlineLevel="0" collapsed="false">
      <c r="B804" s="572"/>
      <c r="C804" s="573"/>
      <c r="D804" s="574"/>
      <c r="E804" s="575"/>
      <c r="F804" s="575"/>
      <c r="G804" s="574"/>
      <c r="H804" s="574"/>
    </row>
    <row r="805" customFormat="false" ht="21" hidden="false" customHeight="true" outlineLevel="0" collapsed="false">
      <c r="B805" s="572"/>
      <c r="C805" s="573"/>
      <c r="D805" s="574"/>
      <c r="E805" s="575"/>
      <c r="F805" s="575"/>
      <c r="G805" s="574"/>
      <c r="H805" s="574"/>
    </row>
    <row r="806" customFormat="false" ht="21" hidden="false" customHeight="true" outlineLevel="0" collapsed="false">
      <c r="B806" s="572"/>
      <c r="C806" s="573"/>
      <c r="D806" s="574"/>
      <c r="E806" s="575"/>
      <c r="F806" s="575"/>
      <c r="G806" s="574"/>
      <c r="H806" s="574"/>
    </row>
    <row r="807" customFormat="false" ht="21" hidden="false" customHeight="true" outlineLevel="0" collapsed="false">
      <c r="B807" s="572"/>
      <c r="C807" s="573"/>
      <c r="D807" s="574"/>
      <c r="E807" s="575"/>
      <c r="F807" s="575"/>
      <c r="G807" s="574"/>
      <c r="H807" s="574"/>
    </row>
    <row r="808" customFormat="false" ht="21" hidden="false" customHeight="true" outlineLevel="0" collapsed="false">
      <c r="B808" s="572"/>
      <c r="C808" s="573"/>
      <c r="D808" s="574"/>
      <c r="E808" s="575"/>
      <c r="F808" s="575"/>
      <c r="G808" s="574"/>
      <c r="H808" s="574"/>
    </row>
    <row r="809" customFormat="false" ht="21" hidden="false" customHeight="true" outlineLevel="0" collapsed="false">
      <c r="B809" s="572"/>
      <c r="C809" s="573"/>
      <c r="D809" s="574"/>
      <c r="E809" s="575"/>
      <c r="F809" s="575"/>
      <c r="G809" s="574"/>
      <c r="H809" s="574"/>
    </row>
    <row r="810" customFormat="false" ht="21" hidden="false" customHeight="true" outlineLevel="0" collapsed="false">
      <c r="B810" s="572"/>
      <c r="C810" s="573"/>
      <c r="D810" s="574"/>
      <c r="E810" s="575"/>
      <c r="F810" s="575"/>
      <c r="G810" s="574"/>
      <c r="H810" s="574"/>
    </row>
    <row r="811" customFormat="false" ht="21" hidden="false" customHeight="true" outlineLevel="0" collapsed="false">
      <c r="B811" s="572"/>
      <c r="C811" s="573"/>
      <c r="D811" s="574"/>
      <c r="E811" s="575"/>
      <c r="F811" s="575"/>
      <c r="G811" s="574"/>
      <c r="H811" s="574"/>
    </row>
    <row r="812" customFormat="false" ht="21" hidden="false" customHeight="true" outlineLevel="0" collapsed="false">
      <c r="B812" s="572"/>
      <c r="C812" s="573"/>
      <c r="D812" s="574"/>
      <c r="E812" s="575"/>
      <c r="F812" s="575"/>
      <c r="G812" s="574"/>
      <c r="H812" s="574"/>
    </row>
    <row r="813" customFormat="false" ht="21" hidden="false" customHeight="true" outlineLevel="0" collapsed="false">
      <c r="B813" s="572"/>
      <c r="C813" s="573"/>
      <c r="D813" s="574"/>
      <c r="E813" s="575"/>
      <c r="F813" s="575"/>
      <c r="G813" s="574"/>
      <c r="H813" s="574"/>
    </row>
    <row r="814" customFormat="false" ht="21" hidden="false" customHeight="true" outlineLevel="0" collapsed="false">
      <c r="B814" s="572"/>
      <c r="C814" s="573"/>
      <c r="D814" s="574"/>
      <c r="E814" s="575"/>
      <c r="F814" s="575"/>
      <c r="G814" s="574"/>
      <c r="H814" s="574"/>
    </row>
    <row r="815" customFormat="false" ht="21" hidden="false" customHeight="true" outlineLevel="0" collapsed="false">
      <c r="B815" s="572"/>
      <c r="C815" s="573"/>
      <c r="D815" s="574"/>
      <c r="E815" s="575"/>
      <c r="F815" s="575"/>
      <c r="G815" s="574"/>
      <c r="H815" s="574"/>
    </row>
    <row r="816" customFormat="false" ht="21" hidden="false" customHeight="true" outlineLevel="0" collapsed="false">
      <c r="B816" s="572"/>
      <c r="C816" s="573"/>
      <c r="D816" s="574"/>
      <c r="E816" s="575"/>
      <c r="F816" s="575"/>
      <c r="G816" s="574"/>
      <c r="H816" s="574"/>
    </row>
    <row r="817" customFormat="false" ht="21" hidden="false" customHeight="true" outlineLevel="0" collapsed="false">
      <c r="B817" s="572"/>
      <c r="C817" s="573"/>
      <c r="D817" s="574"/>
      <c r="E817" s="575"/>
      <c r="F817" s="575"/>
      <c r="G817" s="574"/>
      <c r="H817" s="574"/>
    </row>
    <row r="818" customFormat="false" ht="21" hidden="false" customHeight="true" outlineLevel="0" collapsed="false">
      <c r="B818" s="572"/>
      <c r="C818" s="573"/>
      <c r="D818" s="574"/>
      <c r="E818" s="575"/>
      <c r="F818" s="575"/>
      <c r="G818" s="574"/>
      <c r="H818" s="574"/>
    </row>
    <row r="819" customFormat="false" ht="21" hidden="false" customHeight="true" outlineLevel="0" collapsed="false">
      <c r="B819" s="572"/>
      <c r="C819" s="573"/>
      <c r="D819" s="574"/>
      <c r="E819" s="575"/>
      <c r="F819" s="575"/>
      <c r="G819" s="574"/>
      <c r="H819" s="574"/>
    </row>
    <row r="820" customFormat="false" ht="21" hidden="false" customHeight="true" outlineLevel="0" collapsed="false">
      <c r="B820" s="572"/>
      <c r="C820" s="573"/>
      <c r="D820" s="574"/>
      <c r="E820" s="575"/>
      <c r="F820" s="575"/>
      <c r="G820" s="574"/>
      <c r="H820" s="574"/>
    </row>
    <row r="821" customFormat="false" ht="21" hidden="false" customHeight="true" outlineLevel="0" collapsed="false">
      <c r="B821" s="572"/>
      <c r="C821" s="573"/>
      <c r="D821" s="574"/>
      <c r="E821" s="575"/>
      <c r="F821" s="575"/>
      <c r="G821" s="574"/>
      <c r="H821" s="574"/>
    </row>
    <row r="822" customFormat="false" ht="21" hidden="false" customHeight="true" outlineLevel="0" collapsed="false">
      <c r="B822" s="572"/>
      <c r="C822" s="573"/>
      <c r="D822" s="574"/>
      <c r="E822" s="575"/>
      <c r="F822" s="575"/>
      <c r="G822" s="574"/>
      <c r="H822" s="574"/>
    </row>
    <row r="823" customFormat="false" ht="21" hidden="false" customHeight="true" outlineLevel="0" collapsed="false">
      <c r="B823" s="572"/>
      <c r="C823" s="573"/>
      <c r="D823" s="574"/>
      <c r="E823" s="575"/>
      <c r="F823" s="575"/>
      <c r="G823" s="574"/>
      <c r="H823" s="574"/>
    </row>
    <row r="824" customFormat="false" ht="21" hidden="false" customHeight="true" outlineLevel="0" collapsed="false">
      <c r="B824" s="572"/>
      <c r="C824" s="573"/>
      <c r="D824" s="574"/>
      <c r="E824" s="575"/>
      <c r="F824" s="575"/>
      <c r="G824" s="574"/>
      <c r="H824" s="574"/>
    </row>
    <row r="825" customFormat="false" ht="21" hidden="false" customHeight="true" outlineLevel="0" collapsed="false">
      <c r="B825" s="572"/>
      <c r="C825" s="573"/>
      <c r="D825" s="574"/>
      <c r="E825" s="575"/>
      <c r="F825" s="575"/>
      <c r="G825" s="574"/>
      <c r="H825" s="574"/>
    </row>
    <row r="826" customFormat="false" ht="21" hidden="false" customHeight="true" outlineLevel="0" collapsed="false">
      <c r="B826" s="572"/>
      <c r="C826" s="573"/>
      <c r="D826" s="574"/>
      <c r="E826" s="575"/>
      <c r="F826" s="575"/>
      <c r="G826" s="574"/>
      <c r="H826" s="574"/>
    </row>
    <row r="827" customFormat="false" ht="21" hidden="false" customHeight="true" outlineLevel="0" collapsed="false">
      <c r="B827" s="572"/>
      <c r="C827" s="573"/>
      <c r="D827" s="574"/>
      <c r="E827" s="575"/>
      <c r="F827" s="575"/>
      <c r="G827" s="574"/>
      <c r="H827" s="574"/>
    </row>
    <row r="828" customFormat="false" ht="21" hidden="false" customHeight="true" outlineLevel="0" collapsed="false">
      <c r="B828" s="572"/>
      <c r="C828" s="573"/>
      <c r="D828" s="574"/>
      <c r="E828" s="575"/>
      <c r="F828" s="575"/>
      <c r="G828" s="574"/>
      <c r="H828" s="574"/>
    </row>
    <row r="829" customFormat="false" ht="21" hidden="false" customHeight="true" outlineLevel="0" collapsed="false">
      <c r="B829" s="572"/>
      <c r="C829" s="573"/>
      <c r="D829" s="574"/>
      <c r="E829" s="575"/>
      <c r="F829" s="575"/>
      <c r="G829" s="574"/>
      <c r="H829" s="574"/>
    </row>
    <row r="830" customFormat="false" ht="21" hidden="false" customHeight="true" outlineLevel="0" collapsed="false">
      <c r="B830" s="572"/>
      <c r="C830" s="573"/>
      <c r="D830" s="574"/>
      <c r="E830" s="575"/>
      <c r="F830" s="575"/>
      <c r="G830" s="574"/>
      <c r="H830" s="574"/>
    </row>
    <row r="831" customFormat="false" ht="21" hidden="false" customHeight="true" outlineLevel="0" collapsed="false">
      <c r="B831" s="572"/>
      <c r="C831" s="573"/>
      <c r="D831" s="574"/>
      <c r="E831" s="575"/>
      <c r="F831" s="575"/>
      <c r="G831" s="574"/>
      <c r="H831" s="574"/>
    </row>
    <row r="832" customFormat="false" ht="21" hidden="false" customHeight="true" outlineLevel="0" collapsed="false">
      <c r="B832" s="572"/>
      <c r="C832" s="573"/>
      <c r="D832" s="574"/>
      <c r="E832" s="575"/>
      <c r="F832" s="575"/>
      <c r="G832" s="574"/>
      <c r="H832" s="574"/>
    </row>
    <row r="833" customFormat="false" ht="21" hidden="false" customHeight="true" outlineLevel="0" collapsed="false">
      <c r="B833" s="572"/>
      <c r="C833" s="573"/>
      <c r="D833" s="574"/>
      <c r="E833" s="575"/>
      <c r="F833" s="575"/>
      <c r="G833" s="574"/>
      <c r="H833" s="574"/>
    </row>
    <row r="834" customFormat="false" ht="21" hidden="false" customHeight="true" outlineLevel="0" collapsed="false">
      <c r="B834" s="572"/>
      <c r="C834" s="573"/>
      <c r="D834" s="574"/>
      <c r="E834" s="575"/>
      <c r="F834" s="575"/>
      <c r="G834" s="574"/>
      <c r="H834" s="574"/>
    </row>
    <row r="835" customFormat="false" ht="21" hidden="false" customHeight="true" outlineLevel="0" collapsed="false">
      <c r="B835" s="572"/>
      <c r="C835" s="573"/>
      <c r="D835" s="574"/>
      <c r="E835" s="575"/>
      <c r="F835" s="575"/>
      <c r="G835" s="574"/>
      <c r="H835" s="574"/>
    </row>
    <row r="836" customFormat="false" ht="21" hidden="false" customHeight="true" outlineLevel="0" collapsed="false">
      <c r="B836" s="572"/>
      <c r="C836" s="573"/>
      <c r="D836" s="574"/>
      <c r="E836" s="575"/>
      <c r="F836" s="575"/>
      <c r="G836" s="574"/>
      <c r="H836" s="574"/>
    </row>
    <row r="837" customFormat="false" ht="21" hidden="false" customHeight="true" outlineLevel="0" collapsed="false">
      <c r="B837" s="572"/>
      <c r="C837" s="573"/>
      <c r="D837" s="574"/>
      <c r="E837" s="575"/>
      <c r="F837" s="575"/>
      <c r="G837" s="574"/>
      <c r="H837" s="574"/>
    </row>
    <row r="838" customFormat="false" ht="21" hidden="false" customHeight="true" outlineLevel="0" collapsed="false">
      <c r="B838" s="572"/>
      <c r="C838" s="573"/>
      <c r="D838" s="574"/>
      <c r="E838" s="575"/>
      <c r="F838" s="575"/>
      <c r="G838" s="574"/>
      <c r="H838" s="574"/>
    </row>
    <row r="839" customFormat="false" ht="21" hidden="false" customHeight="true" outlineLevel="0" collapsed="false">
      <c r="B839" s="572"/>
      <c r="C839" s="573"/>
      <c r="D839" s="574"/>
      <c r="E839" s="575"/>
      <c r="F839" s="575"/>
      <c r="G839" s="574"/>
      <c r="H839" s="574"/>
    </row>
    <row r="840" customFormat="false" ht="21" hidden="false" customHeight="true" outlineLevel="0" collapsed="false">
      <c r="B840" s="572"/>
      <c r="C840" s="573"/>
      <c r="D840" s="574"/>
      <c r="E840" s="575"/>
      <c r="F840" s="575"/>
      <c r="G840" s="574"/>
      <c r="H840" s="574"/>
    </row>
    <row r="841" customFormat="false" ht="21" hidden="false" customHeight="true" outlineLevel="0" collapsed="false">
      <c r="B841" s="572"/>
      <c r="C841" s="573"/>
      <c r="D841" s="574"/>
      <c r="E841" s="575"/>
      <c r="F841" s="575"/>
      <c r="G841" s="574"/>
      <c r="H841" s="574"/>
    </row>
    <row r="842" customFormat="false" ht="21" hidden="false" customHeight="true" outlineLevel="0" collapsed="false">
      <c r="B842" s="572"/>
      <c r="C842" s="573"/>
      <c r="D842" s="574"/>
      <c r="E842" s="575"/>
      <c r="F842" s="575"/>
      <c r="G842" s="574"/>
      <c r="H842" s="574"/>
    </row>
    <row r="843" customFormat="false" ht="21" hidden="false" customHeight="true" outlineLevel="0" collapsed="false">
      <c r="B843" s="572"/>
      <c r="C843" s="573"/>
      <c r="D843" s="574"/>
      <c r="E843" s="575"/>
      <c r="F843" s="575"/>
      <c r="G843" s="574"/>
      <c r="H843" s="574"/>
    </row>
    <row r="844" customFormat="false" ht="21" hidden="false" customHeight="true" outlineLevel="0" collapsed="false">
      <c r="B844" s="572"/>
      <c r="C844" s="573"/>
      <c r="D844" s="574"/>
      <c r="E844" s="575"/>
      <c r="F844" s="575"/>
      <c r="G844" s="574"/>
      <c r="H844" s="574"/>
    </row>
    <row r="845" customFormat="false" ht="21" hidden="false" customHeight="true" outlineLevel="0" collapsed="false">
      <c r="B845" s="572"/>
      <c r="C845" s="573"/>
      <c r="D845" s="574"/>
      <c r="E845" s="575"/>
      <c r="F845" s="575"/>
      <c r="G845" s="574"/>
      <c r="H845" s="574"/>
    </row>
    <row r="846" customFormat="false" ht="21" hidden="false" customHeight="true" outlineLevel="0" collapsed="false">
      <c r="B846" s="572"/>
      <c r="C846" s="573"/>
      <c r="D846" s="574"/>
      <c r="E846" s="575"/>
      <c r="F846" s="575"/>
      <c r="G846" s="574"/>
      <c r="H846" s="574"/>
    </row>
    <row r="847" customFormat="false" ht="21" hidden="false" customHeight="true" outlineLevel="0" collapsed="false">
      <c r="B847" s="572"/>
      <c r="C847" s="573"/>
      <c r="D847" s="574"/>
      <c r="E847" s="575"/>
      <c r="F847" s="575"/>
      <c r="G847" s="574"/>
      <c r="H847" s="574"/>
    </row>
    <row r="848" customFormat="false" ht="21" hidden="false" customHeight="true" outlineLevel="0" collapsed="false">
      <c r="B848" s="572"/>
      <c r="C848" s="573"/>
      <c r="D848" s="574"/>
      <c r="E848" s="575"/>
      <c r="F848" s="575"/>
      <c r="G848" s="574"/>
      <c r="H848" s="574"/>
    </row>
    <row r="849" customFormat="false" ht="21" hidden="false" customHeight="true" outlineLevel="0" collapsed="false">
      <c r="B849" s="572"/>
      <c r="C849" s="573"/>
      <c r="D849" s="574"/>
      <c r="E849" s="575"/>
      <c r="F849" s="575"/>
      <c r="G849" s="574"/>
      <c r="H849" s="574"/>
    </row>
    <row r="850" customFormat="false" ht="21" hidden="false" customHeight="true" outlineLevel="0" collapsed="false">
      <c r="B850" s="572"/>
      <c r="C850" s="573"/>
      <c r="D850" s="574"/>
      <c r="E850" s="575"/>
      <c r="F850" s="575"/>
      <c r="G850" s="574"/>
      <c r="H850" s="574"/>
    </row>
    <row r="851" customFormat="false" ht="21" hidden="false" customHeight="true" outlineLevel="0" collapsed="false">
      <c r="B851" s="572"/>
      <c r="C851" s="573"/>
      <c r="D851" s="574"/>
      <c r="E851" s="575"/>
      <c r="F851" s="575"/>
      <c r="G851" s="574"/>
      <c r="H851" s="574"/>
    </row>
    <row r="852" customFormat="false" ht="21" hidden="false" customHeight="true" outlineLevel="0" collapsed="false">
      <c r="B852" s="572"/>
      <c r="C852" s="573"/>
      <c r="D852" s="574"/>
      <c r="E852" s="575"/>
      <c r="F852" s="575"/>
      <c r="G852" s="574"/>
      <c r="H852" s="574"/>
    </row>
    <row r="853" customFormat="false" ht="21" hidden="false" customHeight="true" outlineLevel="0" collapsed="false">
      <c r="B853" s="572"/>
      <c r="C853" s="573"/>
      <c r="D853" s="574"/>
      <c r="E853" s="575"/>
      <c r="F853" s="575"/>
      <c r="G853" s="574"/>
      <c r="H853" s="574"/>
    </row>
    <row r="854" customFormat="false" ht="21" hidden="false" customHeight="true" outlineLevel="0" collapsed="false">
      <c r="B854" s="572"/>
      <c r="C854" s="573"/>
      <c r="D854" s="574"/>
      <c r="E854" s="575"/>
      <c r="F854" s="575"/>
      <c r="G854" s="574"/>
      <c r="H854" s="574"/>
    </row>
    <row r="855" customFormat="false" ht="21" hidden="false" customHeight="true" outlineLevel="0" collapsed="false">
      <c r="B855" s="572"/>
      <c r="C855" s="573"/>
      <c r="D855" s="574"/>
      <c r="E855" s="575"/>
      <c r="F855" s="575"/>
      <c r="G855" s="574"/>
      <c r="H855" s="574"/>
    </row>
    <row r="856" customFormat="false" ht="21" hidden="false" customHeight="true" outlineLevel="0" collapsed="false">
      <c r="B856" s="572"/>
      <c r="C856" s="573"/>
      <c r="D856" s="574"/>
      <c r="E856" s="575"/>
      <c r="F856" s="575"/>
      <c r="G856" s="574"/>
      <c r="H856" s="574"/>
    </row>
    <row r="857" customFormat="false" ht="21" hidden="false" customHeight="true" outlineLevel="0" collapsed="false">
      <c r="B857" s="572"/>
      <c r="C857" s="573"/>
      <c r="D857" s="574"/>
      <c r="E857" s="575"/>
      <c r="F857" s="575"/>
      <c r="G857" s="574"/>
      <c r="H857" s="574"/>
    </row>
    <row r="858" customFormat="false" ht="21" hidden="false" customHeight="true" outlineLevel="0" collapsed="false">
      <c r="B858" s="572"/>
      <c r="C858" s="573"/>
      <c r="D858" s="574"/>
      <c r="E858" s="575"/>
      <c r="F858" s="575"/>
      <c r="G858" s="574"/>
      <c r="H858" s="574"/>
    </row>
    <row r="859" customFormat="false" ht="21" hidden="false" customHeight="true" outlineLevel="0" collapsed="false">
      <c r="B859" s="572"/>
      <c r="C859" s="573"/>
      <c r="D859" s="574"/>
      <c r="E859" s="575"/>
      <c r="F859" s="575"/>
      <c r="G859" s="574"/>
      <c r="H859" s="574"/>
    </row>
    <row r="860" customFormat="false" ht="21" hidden="false" customHeight="true" outlineLevel="0" collapsed="false">
      <c r="B860" s="572"/>
      <c r="C860" s="573"/>
      <c r="D860" s="574"/>
      <c r="E860" s="575"/>
      <c r="F860" s="575"/>
      <c r="G860" s="574"/>
      <c r="H860" s="574"/>
    </row>
    <row r="861" customFormat="false" ht="21" hidden="false" customHeight="true" outlineLevel="0" collapsed="false">
      <c r="B861" s="572"/>
      <c r="C861" s="573"/>
      <c r="D861" s="574"/>
      <c r="E861" s="575"/>
      <c r="F861" s="575"/>
      <c r="G861" s="574"/>
      <c r="H861" s="574"/>
    </row>
    <row r="862" customFormat="false" ht="21" hidden="false" customHeight="true" outlineLevel="0" collapsed="false">
      <c r="B862" s="572"/>
      <c r="C862" s="573"/>
      <c r="D862" s="574"/>
      <c r="E862" s="575"/>
      <c r="F862" s="575"/>
      <c r="G862" s="574"/>
      <c r="H862" s="574"/>
    </row>
    <row r="863" customFormat="false" ht="21" hidden="false" customHeight="true" outlineLevel="0" collapsed="false">
      <c r="B863" s="572"/>
      <c r="C863" s="573"/>
      <c r="D863" s="574"/>
      <c r="E863" s="575"/>
      <c r="F863" s="575"/>
      <c r="G863" s="574"/>
      <c r="H863" s="574"/>
    </row>
    <row r="864" customFormat="false" ht="21" hidden="false" customHeight="true" outlineLevel="0" collapsed="false">
      <c r="B864" s="572"/>
      <c r="C864" s="573"/>
      <c r="D864" s="574"/>
      <c r="E864" s="575"/>
      <c r="F864" s="575"/>
      <c r="G864" s="574"/>
      <c r="H864" s="574"/>
    </row>
    <row r="865" customFormat="false" ht="21" hidden="false" customHeight="true" outlineLevel="0" collapsed="false">
      <c r="B865" s="572"/>
      <c r="C865" s="573"/>
      <c r="D865" s="574"/>
      <c r="E865" s="575"/>
      <c r="F865" s="575"/>
      <c r="G865" s="574"/>
      <c r="H865" s="574"/>
    </row>
    <row r="866" customFormat="false" ht="21" hidden="false" customHeight="true" outlineLevel="0" collapsed="false">
      <c r="B866" s="572"/>
      <c r="C866" s="573"/>
      <c r="D866" s="574"/>
      <c r="E866" s="575"/>
      <c r="F866" s="575"/>
      <c r="G866" s="574"/>
      <c r="H866" s="574"/>
    </row>
    <row r="867" customFormat="false" ht="21" hidden="false" customHeight="true" outlineLevel="0" collapsed="false">
      <c r="B867" s="572"/>
      <c r="C867" s="573"/>
      <c r="D867" s="574"/>
      <c r="E867" s="575"/>
      <c r="F867" s="575"/>
      <c r="G867" s="574"/>
      <c r="H867" s="574"/>
    </row>
    <row r="868" customFormat="false" ht="21" hidden="false" customHeight="true" outlineLevel="0" collapsed="false">
      <c r="B868" s="572"/>
      <c r="C868" s="573"/>
      <c r="D868" s="574"/>
      <c r="E868" s="575"/>
      <c r="F868" s="575"/>
      <c r="G868" s="574"/>
      <c r="H868" s="574"/>
    </row>
    <row r="869" customFormat="false" ht="21" hidden="false" customHeight="true" outlineLevel="0" collapsed="false">
      <c r="B869" s="572"/>
      <c r="C869" s="573"/>
      <c r="D869" s="574"/>
      <c r="E869" s="575"/>
      <c r="F869" s="575"/>
      <c r="G869" s="574"/>
      <c r="H869" s="574"/>
    </row>
    <row r="870" customFormat="false" ht="21" hidden="false" customHeight="true" outlineLevel="0" collapsed="false">
      <c r="B870" s="572"/>
      <c r="C870" s="573"/>
      <c r="D870" s="574"/>
      <c r="E870" s="575"/>
      <c r="F870" s="575"/>
      <c r="G870" s="574"/>
      <c r="H870" s="574"/>
    </row>
    <row r="871" customFormat="false" ht="21" hidden="false" customHeight="true" outlineLevel="0" collapsed="false">
      <c r="B871" s="572"/>
      <c r="C871" s="573"/>
      <c r="D871" s="574"/>
      <c r="E871" s="575"/>
      <c r="F871" s="575"/>
      <c r="G871" s="574"/>
      <c r="H871" s="574"/>
    </row>
    <row r="872" customFormat="false" ht="21" hidden="false" customHeight="true" outlineLevel="0" collapsed="false">
      <c r="B872" s="572"/>
      <c r="C872" s="573"/>
      <c r="D872" s="574"/>
      <c r="E872" s="575"/>
      <c r="F872" s="575"/>
      <c r="G872" s="574"/>
      <c r="H872" s="574"/>
    </row>
    <row r="873" customFormat="false" ht="21" hidden="false" customHeight="true" outlineLevel="0" collapsed="false">
      <c r="B873" s="572"/>
      <c r="C873" s="573"/>
      <c r="D873" s="574"/>
      <c r="E873" s="575"/>
      <c r="F873" s="575"/>
      <c r="G873" s="574"/>
      <c r="H873" s="574"/>
    </row>
    <row r="874" customFormat="false" ht="21" hidden="false" customHeight="true" outlineLevel="0" collapsed="false">
      <c r="B874" s="572"/>
      <c r="C874" s="573"/>
      <c r="D874" s="574"/>
      <c r="E874" s="575"/>
      <c r="F874" s="575"/>
      <c r="G874" s="574"/>
      <c r="H874" s="574"/>
    </row>
    <row r="875" customFormat="false" ht="21" hidden="false" customHeight="true" outlineLevel="0" collapsed="false">
      <c r="B875" s="572"/>
      <c r="C875" s="573"/>
      <c r="D875" s="574"/>
      <c r="E875" s="575"/>
      <c r="F875" s="575"/>
      <c r="G875" s="574"/>
      <c r="H875" s="574"/>
    </row>
    <row r="876" customFormat="false" ht="21" hidden="false" customHeight="true" outlineLevel="0" collapsed="false">
      <c r="B876" s="572"/>
      <c r="C876" s="573"/>
      <c r="D876" s="574"/>
      <c r="E876" s="575"/>
      <c r="F876" s="575"/>
      <c r="G876" s="574"/>
      <c r="H876" s="574"/>
    </row>
    <row r="877" customFormat="false" ht="21" hidden="false" customHeight="true" outlineLevel="0" collapsed="false">
      <c r="B877" s="572"/>
      <c r="C877" s="573"/>
      <c r="D877" s="574"/>
      <c r="E877" s="575"/>
      <c r="F877" s="575"/>
      <c r="G877" s="574"/>
      <c r="H877" s="574"/>
    </row>
    <row r="878" customFormat="false" ht="21" hidden="false" customHeight="true" outlineLevel="0" collapsed="false">
      <c r="B878" s="572"/>
      <c r="C878" s="573"/>
      <c r="D878" s="574"/>
      <c r="E878" s="575"/>
      <c r="F878" s="575"/>
      <c r="G878" s="574"/>
      <c r="H878" s="574"/>
    </row>
    <row r="879" customFormat="false" ht="21" hidden="false" customHeight="true" outlineLevel="0" collapsed="false">
      <c r="B879" s="572"/>
      <c r="C879" s="573"/>
      <c r="D879" s="574"/>
      <c r="E879" s="575"/>
      <c r="F879" s="575"/>
      <c r="G879" s="574"/>
      <c r="H879" s="574"/>
    </row>
    <row r="880" customFormat="false" ht="21" hidden="false" customHeight="true" outlineLevel="0" collapsed="false">
      <c r="B880" s="572"/>
      <c r="C880" s="573"/>
      <c r="D880" s="574"/>
      <c r="E880" s="575"/>
      <c r="F880" s="575"/>
      <c r="G880" s="574"/>
      <c r="H880" s="574"/>
    </row>
    <row r="881" customFormat="false" ht="21" hidden="false" customHeight="true" outlineLevel="0" collapsed="false">
      <c r="B881" s="572"/>
      <c r="C881" s="573"/>
      <c r="D881" s="574"/>
      <c r="E881" s="575"/>
      <c r="F881" s="575"/>
      <c r="G881" s="574"/>
      <c r="H881" s="574"/>
    </row>
    <row r="882" customFormat="false" ht="21" hidden="false" customHeight="true" outlineLevel="0" collapsed="false">
      <c r="B882" s="572"/>
      <c r="C882" s="573"/>
      <c r="D882" s="574"/>
      <c r="E882" s="575"/>
      <c r="F882" s="575"/>
      <c r="G882" s="574"/>
      <c r="H882" s="574"/>
    </row>
    <row r="883" customFormat="false" ht="21" hidden="false" customHeight="true" outlineLevel="0" collapsed="false">
      <c r="B883" s="572"/>
      <c r="C883" s="573"/>
      <c r="D883" s="574"/>
      <c r="E883" s="575"/>
      <c r="F883" s="575"/>
      <c r="G883" s="574"/>
      <c r="H883" s="574"/>
    </row>
    <row r="884" customFormat="false" ht="21" hidden="false" customHeight="true" outlineLevel="0" collapsed="false">
      <c r="B884" s="572"/>
      <c r="C884" s="573"/>
      <c r="D884" s="574"/>
      <c r="E884" s="575"/>
      <c r="F884" s="575"/>
      <c r="G884" s="574"/>
      <c r="H884" s="574"/>
    </row>
    <row r="885" customFormat="false" ht="21" hidden="false" customHeight="true" outlineLevel="0" collapsed="false">
      <c r="B885" s="572"/>
      <c r="C885" s="573"/>
      <c r="D885" s="574"/>
      <c r="E885" s="575"/>
      <c r="F885" s="575"/>
      <c r="G885" s="574"/>
      <c r="H885" s="574"/>
    </row>
    <row r="886" customFormat="false" ht="21" hidden="false" customHeight="true" outlineLevel="0" collapsed="false">
      <c r="B886" s="572"/>
      <c r="C886" s="573"/>
      <c r="D886" s="574"/>
      <c r="E886" s="575"/>
      <c r="F886" s="575"/>
      <c r="G886" s="574"/>
      <c r="H886" s="574"/>
    </row>
    <row r="887" customFormat="false" ht="21" hidden="false" customHeight="true" outlineLevel="0" collapsed="false">
      <c r="B887" s="572"/>
      <c r="C887" s="573"/>
      <c r="D887" s="574"/>
      <c r="E887" s="575"/>
      <c r="F887" s="575"/>
      <c r="G887" s="574"/>
      <c r="H887" s="574"/>
    </row>
    <row r="888" customFormat="false" ht="21" hidden="false" customHeight="true" outlineLevel="0" collapsed="false">
      <c r="B888" s="572"/>
      <c r="C888" s="573"/>
      <c r="D888" s="574"/>
      <c r="E888" s="575"/>
      <c r="F888" s="575"/>
      <c r="G888" s="574"/>
      <c r="H888" s="574"/>
    </row>
    <row r="889" customFormat="false" ht="21" hidden="false" customHeight="true" outlineLevel="0" collapsed="false">
      <c r="B889" s="572"/>
      <c r="C889" s="573"/>
      <c r="D889" s="574"/>
      <c r="E889" s="575"/>
      <c r="F889" s="575"/>
      <c r="G889" s="574"/>
      <c r="H889" s="574"/>
    </row>
    <row r="890" customFormat="false" ht="21" hidden="false" customHeight="true" outlineLevel="0" collapsed="false">
      <c r="B890" s="572"/>
      <c r="C890" s="573"/>
      <c r="D890" s="574"/>
      <c r="E890" s="575"/>
      <c r="F890" s="575"/>
      <c r="G890" s="574"/>
      <c r="H890" s="574"/>
    </row>
    <row r="891" customFormat="false" ht="21" hidden="false" customHeight="true" outlineLevel="0" collapsed="false">
      <c r="B891" s="572"/>
      <c r="C891" s="573"/>
      <c r="D891" s="574"/>
      <c r="E891" s="575"/>
      <c r="F891" s="575"/>
      <c r="G891" s="574"/>
      <c r="H891" s="574"/>
    </row>
    <row r="892" customFormat="false" ht="21" hidden="false" customHeight="true" outlineLevel="0" collapsed="false">
      <c r="B892" s="572"/>
      <c r="C892" s="573"/>
      <c r="D892" s="574"/>
      <c r="E892" s="575"/>
      <c r="F892" s="575"/>
      <c r="G892" s="574"/>
      <c r="H892" s="574"/>
    </row>
    <row r="893" customFormat="false" ht="21" hidden="false" customHeight="true" outlineLevel="0" collapsed="false">
      <c r="B893" s="572"/>
      <c r="C893" s="573"/>
      <c r="D893" s="574"/>
      <c r="E893" s="575"/>
      <c r="F893" s="575"/>
      <c r="G893" s="574"/>
      <c r="H893" s="574"/>
    </row>
    <row r="894" customFormat="false" ht="21" hidden="false" customHeight="true" outlineLevel="0" collapsed="false">
      <c r="B894" s="572"/>
      <c r="C894" s="573"/>
      <c r="D894" s="574"/>
      <c r="E894" s="575"/>
      <c r="F894" s="575"/>
      <c r="G894" s="574"/>
      <c r="H894" s="574"/>
    </row>
    <row r="895" customFormat="false" ht="21" hidden="false" customHeight="true" outlineLevel="0" collapsed="false">
      <c r="B895" s="572"/>
      <c r="C895" s="573"/>
      <c r="D895" s="574"/>
      <c r="E895" s="575"/>
      <c r="F895" s="575"/>
      <c r="G895" s="574"/>
      <c r="H895" s="574"/>
    </row>
    <row r="896" customFormat="false" ht="21" hidden="false" customHeight="true" outlineLevel="0" collapsed="false">
      <c r="B896" s="572"/>
      <c r="C896" s="573"/>
      <c r="D896" s="574"/>
      <c r="E896" s="575"/>
      <c r="F896" s="575"/>
      <c r="G896" s="574"/>
      <c r="H896" s="574"/>
    </row>
    <row r="897" customFormat="false" ht="21" hidden="false" customHeight="true" outlineLevel="0" collapsed="false">
      <c r="B897" s="572"/>
      <c r="C897" s="573"/>
      <c r="D897" s="574"/>
      <c r="E897" s="575"/>
      <c r="F897" s="575"/>
      <c r="G897" s="574"/>
      <c r="H897" s="574"/>
    </row>
    <row r="898" customFormat="false" ht="21" hidden="false" customHeight="true" outlineLevel="0" collapsed="false">
      <c r="B898" s="572"/>
      <c r="C898" s="573"/>
      <c r="D898" s="574"/>
      <c r="E898" s="575"/>
      <c r="F898" s="575"/>
      <c r="G898" s="574"/>
      <c r="H898" s="574"/>
    </row>
    <row r="899" customFormat="false" ht="21" hidden="false" customHeight="true" outlineLevel="0" collapsed="false">
      <c r="B899" s="572"/>
      <c r="C899" s="573"/>
      <c r="D899" s="574"/>
      <c r="E899" s="575"/>
      <c r="F899" s="575"/>
      <c r="G899" s="574"/>
      <c r="H899" s="574"/>
    </row>
    <row r="900" customFormat="false" ht="21" hidden="false" customHeight="true" outlineLevel="0" collapsed="false">
      <c r="B900" s="572"/>
      <c r="C900" s="573"/>
      <c r="D900" s="574"/>
      <c r="E900" s="575"/>
      <c r="F900" s="575"/>
      <c r="G900" s="574"/>
      <c r="H900" s="574"/>
    </row>
    <row r="901" customFormat="false" ht="21" hidden="false" customHeight="true" outlineLevel="0" collapsed="false">
      <c r="B901" s="572"/>
      <c r="C901" s="573"/>
      <c r="D901" s="574"/>
      <c r="E901" s="575"/>
      <c r="F901" s="575"/>
      <c r="G901" s="574"/>
      <c r="H901" s="574"/>
    </row>
    <row r="902" customFormat="false" ht="21" hidden="false" customHeight="true" outlineLevel="0" collapsed="false">
      <c r="B902" s="572"/>
      <c r="C902" s="573"/>
      <c r="D902" s="574"/>
      <c r="E902" s="575"/>
      <c r="F902" s="575"/>
      <c r="G902" s="574"/>
      <c r="H902" s="574"/>
    </row>
    <row r="903" customFormat="false" ht="21" hidden="false" customHeight="true" outlineLevel="0" collapsed="false">
      <c r="B903" s="572"/>
      <c r="C903" s="573"/>
      <c r="D903" s="574"/>
      <c r="E903" s="575"/>
      <c r="F903" s="575"/>
      <c r="G903" s="574"/>
      <c r="H903" s="574"/>
    </row>
    <row r="904" customFormat="false" ht="21" hidden="false" customHeight="true" outlineLevel="0" collapsed="false">
      <c r="B904" s="572"/>
      <c r="C904" s="573"/>
      <c r="D904" s="574"/>
      <c r="E904" s="575"/>
      <c r="F904" s="575"/>
      <c r="G904" s="574"/>
      <c r="H904" s="574"/>
    </row>
    <row r="905" customFormat="false" ht="21" hidden="false" customHeight="true" outlineLevel="0" collapsed="false">
      <c r="B905" s="572"/>
      <c r="C905" s="573"/>
      <c r="D905" s="574"/>
      <c r="E905" s="575"/>
      <c r="F905" s="575"/>
      <c r="G905" s="574"/>
      <c r="H905" s="574"/>
    </row>
    <row r="906" customFormat="false" ht="21" hidden="false" customHeight="true" outlineLevel="0" collapsed="false">
      <c r="B906" s="572"/>
      <c r="C906" s="573"/>
      <c r="D906" s="574"/>
      <c r="E906" s="575"/>
      <c r="F906" s="575"/>
      <c r="G906" s="574"/>
      <c r="H906" s="574"/>
    </row>
    <row r="907" customFormat="false" ht="21" hidden="false" customHeight="true" outlineLevel="0" collapsed="false">
      <c r="B907" s="572"/>
      <c r="C907" s="573"/>
      <c r="D907" s="574"/>
      <c r="E907" s="575"/>
      <c r="F907" s="575"/>
      <c r="G907" s="574"/>
      <c r="H907" s="574"/>
    </row>
    <row r="908" customFormat="false" ht="21" hidden="false" customHeight="true" outlineLevel="0" collapsed="false">
      <c r="B908" s="572"/>
      <c r="C908" s="573"/>
      <c r="D908" s="574"/>
      <c r="E908" s="575"/>
      <c r="F908" s="575"/>
      <c r="G908" s="574"/>
      <c r="H908" s="574"/>
    </row>
    <row r="909" customFormat="false" ht="21" hidden="false" customHeight="true" outlineLevel="0" collapsed="false">
      <c r="B909" s="572"/>
      <c r="C909" s="573"/>
      <c r="D909" s="574"/>
      <c r="E909" s="575"/>
      <c r="F909" s="575"/>
      <c r="G909" s="574"/>
      <c r="H909" s="574"/>
    </row>
    <row r="910" customFormat="false" ht="21" hidden="false" customHeight="true" outlineLevel="0" collapsed="false">
      <c r="B910" s="572"/>
      <c r="C910" s="573"/>
      <c r="D910" s="574"/>
      <c r="E910" s="575"/>
      <c r="F910" s="575"/>
      <c r="G910" s="574"/>
      <c r="H910" s="574"/>
    </row>
    <row r="911" customFormat="false" ht="21" hidden="false" customHeight="true" outlineLevel="0" collapsed="false">
      <c r="B911" s="572"/>
      <c r="C911" s="573"/>
      <c r="D911" s="574"/>
      <c r="E911" s="575"/>
      <c r="F911" s="575"/>
      <c r="G911" s="574"/>
      <c r="H911" s="574"/>
    </row>
    <row r="912" customFormat="false" ht="21" hidden="false" customHeight="true" outlineLevel="0" collapsed="false">
      <c r="B912" s="572"/>
      <c r="C912" s="573"/>
      <c r="D912" s="574"/>
      <c r="E912" s="575"/>
      <c r="F912" s="575"/>
      <c r="G912" s="574"/>
      <c r="H912" s="574"/>
    </row>
    <row r="913" customFormat="false" ht="21" hidden="false" customHeight="true" outlineLevel="0" collapsed="false">
      <c r="B913" s="572"/>
      <c r="C913" s="573"/>
      <c r="D913" s="574"/>
      <c r="E913" s="575"/>
      <c r="F913" s="575"/>
      <c r="G913" s="574"/>
      <c r="H913" s="574"/>
    </row>
    <row r="914" customFormat="false" ht="21" hidden="false" customHeight="true" outlineLevel="0" collapsed="false">
      <c r="B914" s="572"/>
      <c r="C914" s="573"/>
      <c r="D914" s="574"/>
      <c r="E914" s="575"/>
      <c r="F914" s="575"/>
      <c r="G914" s="574"/>
      <c r="H914" s="574"/>
    </row>
    <row r="915" customFormat="false" ht="21" hidden="false" customHeight="true" outlineLevel="0" collapsed="false">
      <c r="B915" s="572"/>
      <c r="C915" s="573"/>
      <c r="D915" s="574"/>
      <c r="E915" s="575"/>
      <c r="F915" s="575"/>
      <c r="G915" s="574"/>
      <c r="H915" s="574"/>
    </row>
    <row r="916" customFormat="false" ht="21" hidden="false" customHeight="true" outlineLevel="0" collapsed="false">
      <c r="B916" s="572"/>
      <c r="C916" s="573"/>
      <c r="D916" s="574"/>
      <c r="E916" s="575"/>
      <c r="F916" s="575"/>
      <c r="G916" s="574"/>
      <c r="H916" s="574"/>
    </row>
    <row r="917" customFormat="false" ht="21" hidden="false" customHeight="true" outlineLevel="0" collapsed="false">
      <c r="B917" s="572"/>
      <c r="C917" s="573"/>
      <c r="D917" s="574"/>
      <c r="E917" s="575"/>
      <c r="F917" s="575"/>
      <c r="G917" s="574"/>
      <c r="H917" s="574"/>
    </row>
    <row r="918" customFormat="false" ht="21" hidden="false" customHeight="true" outlineLevel="0" collapsed="false">
      <c r="B918" s="572"/>
      <c r="C918" s="573"/>
      <c r="D918" s="574"/>
      <c r="E918" s="575"/>
      <c r="F918" s="575"/>
      <c r="G918" s="574"/>
      <c r="H918" s="574"/>
    </row>
    <row r="919" customFormat="false" ht="21" hidden="false" customHeight="true" outlineLevel="0" collapsed="false">
      <c r="B919" s="572"/>
      <c r="C919" s="573"/>
      <c r="D919" s="574"/>
      <c r="E919" s="575"/>
      <c r="F919" s="575"/>
      <c r="G919" s="574"/>
      <c r="H919" s="574"/>
    </row>
    <row r="920" customFormat="false" ht="21" hidden="false" customHeight="true" outlineLevel="0" collapsed="false">
      <c r="B920" s="572"/>
      <c r="C920" s="573"/>
      <c r="D920" s="574"/>
      <c r="E920" s="575"/>
      <c r="F920" s="575"/>
      <c r="G920" s="574"/>
      <c r="H920" s="574"/>
    </row>
    <row r="921" customFormat="false" ht="21" hidden="false" customHeight="true" outlineLevel="0" collapsed="false">
      <c r="B921" s="572"/>
      <c r="C921" s="573"/>
      <c r="D921" s="574"/>
      <c r="E921" s="575"/>
      <c r="F921" s="575"/>
      <c r="G921" s="574"/>
      <c r="H921" s="574"/>
    </row>
    <row r="922" customFormat="false" ht="21" hidden="false" customHeight="true" outlineLevel="0" collapsed="false">
      <c r="B922" s="572"/>
      <c r="C922" s="573"/>
      <c r="D922" s="574"/>
      <c r="E922" s="575"/>
      <c r="F922" s="575"/>
      <c r="G922" s="574"/>
      <c r="H922" s="574"/>
    </row>
    <row r="923" customFormat="false" ht="21" hidden="false" customHeight="true" outlineLevel="0" collapsed="false">
      <c r="B923" s="572"/>
      <c r="C923" s="573"/>
      <c r="D923" s="574"/>
      <c r="E923" s="575"/>
      <c r="F923" s="575"/>
      <c r="G923" s="574"/>
      <c r="H923" s="574"/>
    </row>
    <row r="924" customFormat="false" ht="21" hidden="false" customHeight="true" outlineLevel="0" collapsed="false">
      <c r="B924" s="572"/>
      <c r="C924" s="573"/>
      <c r="D924" s="574"/>
      <c r="E924" s="575"/>
      <c r="F924" s="575"/>
      <c r="G924" s="574"/>
      <c r="H924" s="574"/>
    </row>
    <row r="925" customFormat="false" ht="21" hidden="false" customHeight="true" outlineLevel="0" collapsed="false">
      <c r="B925" s="572"/>
      <c r="C925" s="573"/>
      <c r="D925" s="574"/>
      <c r="E925" s="575"/>
      <c r="F925" s="575"/>
      <c r="G925" s="574"/>
      <c r="H925" s="574"/>
    </row>
    <row r="926" customFormat="false" ht="21" hidden="false" customHeight="true" outlineLevel="0" collapsed="false">
      <c r="B926" s="572"/>
      <c r="C926" s="573"/>
      <c r="D926" s="574"/>
      <c r="E926" s="575"/>
      <c r="F926" s="575"/>
      <c r="G926" s="574"/>
      <c r="H926" s="574"/>
    </row>
    <row r="927" customFormat="false" ht="21" hidden="false" customHeight="true" outlineLevel="0" collapsed="false">
      <c r="B927" s="572"/>
      <c r="C927" s="573"/>
      <c r="D927" s="574"/>
      <c r="E927" s="575"/>
      <c r="F927" s="575"/>
      <c r="G927" s="574"/>
      <c r="H927" s="574"/>
    </row>
    <row r="928" customFormat="false" ht="21" hidden="false" customHeight="true" outlineLevel="0" collapsed="false">
      <c r="B928" s="572"/>
      <c r="C928" s="573"/>
      <c r="D928" s="574"/>
      <c r="E928" s="575"/>
      <c r="F928" s="575"/>
      <c r="G928" s="574"/>
      <c r="H928" s="574"/>
    </row>
    <row r="929" customFormat="false" ht="21" hidden="false" customHeight="true" outlineLevel="0" collapsed="false">
      <c r="B929" s="572"/>
      <c r="C929" s="573"/>
      <c r="D929" s="574"/>
      <c r="E929" s="575"/>
      <c r="F929" s="575"/>
      <c r="G929" s="574"/>
      <c r="H929" s="574"/>
    </row>
    <row r="930" customFormat="false" ht="21" hidden="false" customHeight="true" outlineLevel="0" collapsed="false">
      <c r="B930" s="572"/>
      <c r="C930" s="573"/>
      <c r="D930" s="574"/>
      <c r="E930" s="575"/>
      <c r="F930" s="575"/>
      <c r="G930" s="574"/>
      <c r="H930" s="574"/>
    </row>
    <row r="931" customFormat="false" ht="21" hidden="false" customHeight="true" outlineLevel="0" collapsed="false">
      <c r="B931" s="572"/>
      <c r="C931" s="573"/>
      <c r="D931" s="574"/>
      <c r="E931" s="575"/>
      <c r="F931" s="575"/>
      <c r="G931" s="574"/>
      <c r="H931" s="574"/>
    </row>
    <row r="932" customFormat="false" ht="21" hidden="false" customHeight="true" outlineLevel="0" collapsed="false">
      <c r="B932" s="572"/>
      <c r="C932" s="573"/>
      <c r="D932" s="574"/>
      <c r="E932" s="575"/>
      <c r="F932" s="575"/>
      <c r="G932" s="574"/>
      <c r="H932" s="574"/>
    </row>
    <row r="933" customFormat="false" ht="21" hidden="false" customHeight="true" outlineLevel="0" collapsed="false">
      <c r="B933" s="572"/>
      <c r="C933" s="573"/>
      <c r="D933" s="574"/>
      <c r="E933" s="575"/>
      <c r="F933" s="575"/>
      <c r="G933" s="574"/>
      <c r="H933" s="574"/>
    </row>
    <row r="934" customFormat="false" ht="21" hidden="false" customHeight="true" outlineLevel="0" collapsed="false">
      <c r="B934" s="572"/>
      <c r="C934" s="573"/>
      <c r="D934" s="574"/>
      <c r="E934" s="575"/>
      <c r="F934" s="575"/>
      <c r="G934" s="574"/>
      <c r="H934" s="574"/>
    </row>
    <row r="935" customFormat="false" ht="21" hidden="false" customHeight="true" outlineLevel="0" collapsed="false">
      <c r="B935" s="572"/>
      <c r="C935" s="573"/>
      <c r="D935" s="574"/>
      <c r="E935" s="575"/>
      <c r="F935" s="575"/>
      <c r="G935" s="574"/>
      <c r="H935" s="574"/>
    </row>
    <row r="936" customFormat="false" ht="21" hidden="false" customHeight="true" outlineLevel="0" collapsed="false">
      <c r="B936" s="572"/>
      <c r="C936" s="573"/>
      <c r="D936" s="574"/>
      <c r="E936" s="575"/>
      <c r="F936" s="575"/>
      <c r="G936" s="574"/>
      <c r="H936" s="574"/>
    </row>
    <row r="937" customFormat="false" ht="21" hidden="false" customHeight="true" outlineLevel="0" collapsed="false">
      <c r="B937" s="572"/>
      <c r="C937" s="573"/>
      <c r="D937" s="574"/>
      <c r="E937" s="575"/>
      <c r="F937" s="575"/>
      <c r="G937" s="574"/>
      <c r="H937" s="574"/>
    </row>
    <row r="938" customFormat="false" ht="21" hidden="false" customHeight="true" outlineLevel="0" collapsed="false">
      <c r="B938" s="572"/>
      <c r="C938" s="573"/>
      <c r="D938" s="574"/>
      <c r="E938" s="575"/>
      <c r="F938" s="575"/>
      <c r="G938" s="574"/>
      <c r="H938" s="574"/>
    </row>
    <row r="939" customFormat="false" ht="21" hidden="false" customHeight="true" outlineLevel="0" collapsed="false">
      <c r="B939" s="572"/>
      <c r="C939" s="573"/>
      <c r="D939" s="574"/>
      <c r="E939" s="575"/>
      <c r="F939" s="575"/>
      <c r="G939" s="574"/>
      <c r="H939" s="574"/>
    </row>
    <row r="940" customFormat="false" ht="21" hidden="false" customHeight="true" outlineLevel="0" collapsed="false">
      <c r="B940" s="572"/>
      <c r="C940" s="573"/>
      <c r="D940" s="574"/>
      <c r="E940" s="575"/>
      <c r="F940" s="575"/>
      <c r="G940" s="574"/>
      <c r="H940" s="574"/>
    </row>
    <row r="941" customFormat="false" ht="21" hidden="false" customHeight="true" outlineLevel="0" collapsed="false">
      <c r="B941" s="572"/>
      <c r="C941" s="573"/>
      <c r="D941" s="574"/>
      <c r="E941" s="575"/>
      <c r="F941" s="575"/>
      <c r="G941" s="574"/>
      <c r="H941" s="574"/>
    </row>
    <row r="942" customFormat="false" ht="21" hidden="false" customHeight="true" outlineLevel="0" collapsed="false">
      <c r="B942" s="572"/>
      <c r="C942" s="573"/>
      <c r="D942" s="574"/>
      <c r="E942" s="575"/>
      <c r="F942" s="575"/>
      <c r="G942" s="574"/>
      <c r="H942" s="574"/>
    </row>
    <row r="943" customFormat="false" ht="21" hidden="false" customHeight="true" outlineLevel="0" collapsed="false">
      <c r="B943" s="572"/>
      <c r="C943" s="573"/>
      <c r="D943" s="574"/>
      <c r="E943" s="575"/>
      <c r="F943" s="575"/>
      <c r="G943" s="574"/>
      <c r="H943" s="574"/>
    </row>
    <row r="944" customFormat="false" ht="21" hidden="false" customHeight="true" outlineLevel="0" collapsed="false">
      <c r="B944" s="572"/>
      <c r="C944" s="573"/>
      <c r="D944" s="574"/>
      <c r="E944" s="575"/>
      <c r="F944" s="575"/>
      <c r="G944" s="574"/>
      <c r="H944" s="574"/>
    </row>
    <row r="945" customFormat="false" ht="21" hidden="false" customHeight="true" outlineLevel="0" collapsed="false">
      <c r="B945" s="572"/>
      <c r="C945" s="573"/>
      <c r="D945" s="574"/>
      <c r="E945" s="575"/>
      <c r="F945" s="575"/>
      <c r="G945" s="574"/>
      <c r="H945" s="574"/>
    </row>
    <row r="946" customFormat="false" ht="21" hidden="false" customHeight="true" outlineLevel="0" collapsed="false">
      <c r="B946" s="572"/>
      <c r="C946" s="573"/>
      <c r="D946" s="574"/>
      <c r="E946" s="575"/>
      <c r="F946" s="575"/>
      <c r="G946" s="574"/>
      <c r="H946" s="574"/>
    </row>
    <row r="947" customFormat="false" ht="21" hidden="false" customHeight="true" outlineLevel="0" collapsed="false">
      <c r="B947" s="572"/>
      <c r="C947" s="573"/>
      <c r="D947" s="574"/>
      <c r="E947" s="575"/>
      <c r="F947" s="575"/>
      <c r="G947" s="574"/>
      <c r="H947" s="574"/>
    </row>
    <row r="948" customFormat="false" ht="21" hidden="false" customHeight="true" outlineLevel="0" collapsed="false">
      <c r="B948" s="572"/>
      <c r="C948" s="573"/>
      <c r="D948" s="574"/>
      <c r="E948" s="575"/>
      <c r="F948" s="575"/>
      <c r="G948" s="574"/>
      <c r="H948" s="574"/>
    </row>
    <row r="949" customFormat="false" ht="21" hidden="false" customHeight="true" outlineLevel="0" collapsed="false">
      <c r="B949" s="572"/>
      <c r="C949" s="573"/>
      <c r="D949" s="574"/>
      <c r="E949" s="575"/>
      <c r="F949" s="575"/>
      <c r="G949" s="574"/>
      <c r="H949" s="574"/>
    </row>
    <row r="950" customFormat="false" ht="21" hidden="false" customHeight="true" outlineLevel="0" collapsed="false">
      <c r="B950" s="572"/>
      <c r="C950" s="573"/>
      <c r="D950" s="574"/>
      <c r="E950" s="575"/>
      <c r="F950" s="575"/>
      <c r="G950" s="574"/>
      <c r="H950" s="574"/>
    </row>
    <row r="951" customFormat="false" ht="21" hidden="false" customHeight="true" outlineLevel="0" collapsed="false">
      <c r="B951" s="572"/>
      <c r="C951" s="573"/>
      <c r="D951" s="574"/>
      <c r="E951" s="575"/>
      <c r="F951" s="575"/>
      <c r="G951" s="574"/>
      <c r="H951" s="574"/>
    </row>
    <row r="952" customFormat="false" ht="21" hidden="false" customHeight="true" outlineLevel="0" collapsed="false">
      <c r="B952" s="572"/>
      <c r="C952" s="573"/>
      <c r="D952" s="574"/>
      <c r="E952" s="575"/>
      <c r="F952" s="575"/>
      <c r="G952" s="574"/>
      <c r="H952" s="574"/>
    </row>
    <row r="953" customFormat="false" ht="21" hidden="false" customHeight="true" outlineLevel="0" collapsed="false">
      <c r="B953" s="572"/>
      <c r="C953" s="573"/>
      <c r="D953" s="574"/>
      <c r="E953" s="575"/>
      <c r="F953" s="575"/>
      <c r="G953" s="574"/>
      <c r="H953" s="574"/>
    </row>
    <row r="954" customFormat="false" ht="21" hidden="false" customHeight="true" outlineLevel="0" collapsed="false">
      <c r="B954" s="572"/>
      <c r="C954" s="573"/>
      <c r="D954" s="574"/>
      <c r="E954" s="575"/>
      <c r="F954" s="575"/>
      <c r="G954" s="574"/>
      <c r="H954" s="574"/>
    </row>
    <row r="955" customFormat="false" ht="21" hidden="false" customHeight="true" outlineLevel="0" collapsed="false">
      <c r="B955" s="572"/>
      <c r="C955" s="573"/>
      <c r="D955" s="574"/>
      <c r="E955" s="575"/>
      <c r="F955" s="575"/>
      <c r="G955" s="574"/>
      <c r="H955" s="574"/>
    </row>
    <row r="956" customFormat="false" ht="21" hidden="false" customHeight="true" outlineLevel="0" collapsed="false">
      <c r="B956" s="572"/>
      <c r="C956" s="573"/>
      <c r="D956" s="574"/>
      <c r="E956" s="575"/>
      <c r="F956" s="575"/>
      <c r="G956" s="574"/>
      <c r="H956" s="574"/>
    </row>
    <row r="957" customFormat="false" ht="21" hidden="false" customHeight="true" outlineLevel="0" collapsed="false">
      <c r="B957" s="572"/>
      <c r="C957" s="573"/>
      <c r="D957" s="574"/>
      <c r="E957" s="575"/>
      <c r="F957" s="575"/>
      <c r="G957" s="574"/>
      <c r="H957" s="574"/>
    </row>
    <row r="958" customFormat="false" ht="21" hidden="false" customHeight="true" outlineLevel="0" collapsed="false">
      <c r="B958" s="572"/>
      <c r="C958" s="573"/>
      <c r="D958" s="574"/>
      <c r="E958" s="575"/>
      <c r="F958" s="575"/>
      <c r="G958" s="574"/>
      <c r="H958" s="574"/>
    </row>
    <row r="959" customFormat="false" ht="21" hidden="false" customHeight="true" outlineLevel="0" collapsed="false">
      <c r="B959" s="572"/>
      <c r="C959" s="573"/>
      <c r="D959" s="574"/>
      <c r="E959" s="575"/>
      <c r="F959" s="575"/>
      <c r="G959" s="574"/>
      <c r="H959" s="574"/>
    </row>
    <row r="960" customFormat="false" ht="21" hidden="false" customHeight="true" outlineLevel="0" collapsed="false">
      <c r="B960" s="572"/>
      <c r="C960" s="573"/>
      <c r="D960" s="574"/>
      <c r="E960" s="575"/>
      <c r="F960" s="575"/>
      <c r="G960" s="574"/>
      <c r="H960" s="574"/>
    </row>
    <row r="961" customFormat="false" ht="21" hidden="false" customHeight="true" outlineLevel="0" collapsed="false">
      <c r="B961" s="572"/>
      <c r="C961" s="573"/>
      <c r="D961" s="574"/>
      <c r="E961" s="575"/>
      <c r="F961" s="575"/>
      <c r="G961" s="574"/>
      <c r="H961" s="574"/>
    </row>
    <row r="962" customFormat="false" ht="21" hidden="false" customHeight="true" outlineLevel="0" collapsed="false">
      <c r="B962" s="572"/>
      <c r="C962" s="573"/>
      <c r="D962" s="574"/>
      <c r="E962" s="575"/>
      <c r="F962" s="575"/>
      <c r="G962" s="574"/>
      <c r="H962" s="574"/>
    </row>
    <row r="963" customFormat="false" ht="21" hidden="false" customHeight="true" outlineLevel="0" collapsed="false">
      <c r="B963" s="572"/>
      <c r="C963" s="573"/>
      <c r="D963" s="574"/>
      <c r="E963" s="575"/>
      <c r="F963" s="575"/>
      <c r="G963" s="574"/>
      <c r="H963" s="574"/>
    </row>
    <row r="964" customFormat="false" ht="21" hidden="false" customHeight="true" outlineLevel="0" collapsed="false">
      <c r="B964" s="572"/>
      <c r="C964" s="573"/>
      <c r="D964" s="574"/>
      <c r="E964" s="575"/>
      <c r="F964" s="575"/>
      <c r="G964" s="574"/>
      <c r="H964" s="574"/>
    </row>
    <row r="965" customFormat="false" ht="21" hidden="false" customHeight="true" outlineLevel="0" collapsed="false">
      <c r="B965" s="572"/>
      <c r="C965" s="573"/>
      <c r="D965" s="574"/>
      <c r="E965" s="575"/>
      <c r="F965" s="575"/>
      <c r="G965" s="574"/>
      <c r="H965" s="574"/>
    </row>
    <row r="966" customFormat="false" ht="21" hidden="false" customHeight="true" outlineLevel="0" collapsed="false">
      <c r="B966" s="572"/>
      <c r="C966" s="573"/>
      <c r="D966" s="574"/>
      <c r="E966" s="575"/>
      <c r="F966" s="575"/>
      <c r="G966" s="574"/>
      <c r="H966" s="574"/>
    </row>
    <row r="967" customFormat="false" ht="21" hidden="false" customHeight="true" outlineLevel="0" collapsed="false">
      <c r="B967" s="572"/>
      <c r="C967" s="573"/>
      <c r="D967" s="574"/>
      <c r="E967" s="575"/>
      <c r="F967" s="575"/>
      <c r="G967" s="574"/>
      <c r="H967" s="574"/>
    </row>
    <row r="968" customFormat="false" ht="21" hidden="false" customHeight="true" outlineLevel="0" collapsed="false">
      <c r="B968" s="572"/>
      <c r="C968" s="573"/>
      <c r="D968" s="574"/>
      <c r="E968" s="575"/>
      <c r="F968" s="575"/>
      <c r="G968" s="574"/>
      <c r="H968" s="574"/>
    </row>
    <row r="969" customFormat="false" ht="21" hidden="false" customHeight="true" outlineLevel="0" collapsed="false">
      <c r="B969" s="572"/>
      <c r="C969" s="573"/>
      <c r="D969" s="574"/>
      <c r="E969" s="575"/>
      <c r="F969" s="575"/>
      <c r="G969" s="574"/>
      <c r="H969" s="574"/>
    </row>
    <row r="970" customFormat="false" ht="21" hidden="false" customHeight="true" outlineLevel="0" collapsed="false">
      <c r="B970" s="572"/>
      <c r="C970" s="573"/>
      <c r="D970" s="574"/>
      <c r="E970" s="575"/>
      <c r="F970" s="575"/>
      <c r="G970" s="574"/>
      <c r="H970" s="574"/>
    </row>
    <row r="971" customFormat="false" ht="21" hidden="false" customHeight="true" outlineLevel="0" collapsed="false">
      <c r="B971" s="572"/>
      <c r="C971" s="573"/>
      <c r="D971" s="574"/>
      <c r="E971" s="575"/>
      <c r="F971" s="575"/>
      <c r="G971" s="574"/>
      <c r="H971" s="574"/>
    </row>
    <row r="972" customFormat="false" ht="21" hidden="false" customHeight="true" outlineLevel="0" collapsed="false">
      <c r="B972" s="572"/>
      <c r="C972" s="573"/>
      <c r="D972" s="574"/>
      <c r="E972" s="575"/>
      <c r="F972" s="575"/>
      <c r="G972" s="574"/>
      <c r="H972" s="574"/>
    </row>
    <row r="973" customFormat="false" ht="21" hidden="false" customHeight="true" outlineLevel="0" collapsed="false">
      <c r="B973" s="572"/>
      <c r="C973" s="573"/>
      <c r="D973" s="574"/>
      <c r="E973" s="575"/>
      <c r="F973" s="575"/>
      <c r="G973" s="574"/>
      <c r="H973" s="574"/>
    </row>
    <row r="974" customFormat="false" ht="21" hidden="false" customHeight="true" outlineLevel="0" collapsed="false">
      <c r="B974" s="572"/>
      <c r="C974" s="573"/>
      <c r="D974" s="574"/>
      <c r="E974" s="575"/>
      <c r="F974" s="575"/>
      <c r="G974" s="574"/>
      <c r="H974" s="574"/>
    </row>
    <row r="975" customFormat="false" ht="21" hidden="false" customHeight="true" outlineLevel="0" collapsed="false">
      <c r="B975" s="572"/>
      <c r="C975" s="573"/>
      <c r="D975" s="574"/>
      <c r="E975" s="575"/>
      <c r="F975" s="575"/>
      <c r="G975" s="574"/>
      <c r="H975" s="574"/>
    </row>
    <row r="976" customFormat="false" ht="21" hidden="false" customHeight="true" outlineLevel="0" collapsed="false">
      <c r="B976" s="572"/>
      <c r="C976" s="573"/>
      <c r="D976" s="574"/>
      <c r="E976" s="575"/>
      <c r="F976" s="575"/>
      <c r="G976" s="574"/>
      <c r="H976" s="574"/>
    </row>
    <row r="977" customFormat="false" ht="21" hidden="false" customHeight="true" outlineLevel="0" collapsed="false">
      <c r="B977" s="572"/>
      <c r="C977" s="573"/>
      <c r="D977" s="574"/>
      <c r="E977" s="575"/>
      <c r="F977" s="575"/>
      <c r="G977" s="574"/>
      <c r="H977" s="574"/>
    </row>
    <row r="978" customFormat="false" ht="21" hidden="false" customHeight="true" outlineLevel="0" collapsed="false">
      <c r="B978" s="572"/>
      <c r="C978" s="573"/>
      <c r="D978" s="574"/>
      <c r="E978" s="575"/>
      <c r="F978" s="575"/>
      <c r="G978" s="574"/>
      <c r="H978" s="574"/>
    </row>
    <row r="979" customFormat="false" ht="21" hidden="false" customHeight="true" outlineLevel="0" collapsed="false">
      <c r="B979" s="572"/>
      <c r="C979" s="573"/>
      <c r="D979" s="574"/>
      <c r="E979" s="575"/>
      <c r="F979" s="575"/>
      <c r="G979" s="574"/>
      <c r="H979" s="574"/>
    </row>
    <row r="980" customFormat="false" ht="21" hidden="false" customHeight="true" outlineLevel="0" collapsed="false">
      <c r="B980" s="572"/>
      <c r="C980" s="573"/>
      <c r="D980" s="574"/>
      <c r="E980" s="575"/>
      <c r="F980" s="575"/>
      <c r="G980" s="574"/>
      <c r="H980" s="574"/>
    </row>
    <row r="981" customFormat="false" ht="21" hidden="false" customHeight="true" outlineLevel="0" collapsed="false">
      <c r="B981" s="572"/>
      <c r="C981" s="573"/>
      <c r="D981" s="574"/>
      <c r="E981" s="575"/>
      <c r="F981" s="575"/>
      <c r="G981" s="574"/>
      <c r="H981" s="574"/>
    </row>
    <row r="982" customFormat="false" ht="21" hidden="false" customHeight="true" outlineLevel="0" collapsed="false">
      <c r="B982" s="572"/>
      <c r="C982" s="573"/>
      <c r="D982" s="574"/>
      <c r="E982" s="575"/>
      <c r="F982" s="575"/>
      <c r="G982" s="574"/>
      <c r="H982" s="574"/>
    </row>
    <row r="983" customFormat="false" ht="21" hidden="false" customHeight="true" outlineLevel="0" collapsed="false">
      <c r="B983" s="572"/>
      <c r="C983" s="573"/>
      <c r="D983" s="574"/>
      <c r="E983" s="575"/>
      <c r="F983" s="575"/>
      <c r="G983" s="574"/>
      <c r="H983" s="574"/>
    </row>
    <row r="984" customFormat="false" ht="21" hidden="false" customHeight="true" outlineLevel="0" collapsed="false">
      <c r="B984" s="572"/>
      <c r="C984" s="573"/>
      <c r="D984" s="574"/>
      <c r="E984" s="575"/>
      <c r="F984" s="575"/>
      <c r="G984" s="574"/>
      <c r="H984" s="574"/>
    </row>
    <row r="985" customFormat="false" ht="21" hidden="false" customHeight="true" outlineLevel="0" collapsed="false">
      <c r="B985" s="572"/>
      <c r="C985" s="573"/>
      <c r="D985" s="574"/>
      <c r="E985" s="575"/>
      <c r="F985" s="575"/>
      <c r="G985" s="574"/>
      <c r="H985" s="574"/>
    </row>
    <row r="986" customFormat="false" ht="21" hidden="false" customHeight="true" outlineLevel="0" collapsed="false">
      <c r="B986" s="572"/>
      <c r="C986" s="573"/>
      <c r="D986" s="574"/>
      <c r="E986" s="575"/>
      <c r="F986" s="575"/>
      <c r="G986" s="574"/>
      <c r="H986" s="574"/>
    </row>
    <row r="987" customFormat="false" ht="21" hidden="false" customHeight="true" outlineLevel="0" collapsed="false">
      <c r="B987" s="572"/>
      <c r="C987" s="573"/>
      <c r="D987" s="574"/>
      <c r="E987" s="575"/>
      <c r="F987" s="575"/>
      <c r="G987" s="574"/>
      <c r="H987" s="574"/>
    </row>
    <row r="988" customFormat="false" ht="21" hidden="false" customHeight="true" outlineLevel="0" collapsed="false">
      <c r="B988" s="572"/>
      <c r="C988" s="573"/>
      <c r="D988" s="574"/>
      <c r="E988" s="575"/>
      <c r="F988" s="575"/>
      <c r="G988" s="574"/>
      <c r="H988" s="574"/>
    </row>
    <row r="989" customFormat="false" ht="21" hidden="false" customHeight="true" outlineLevel="0" collapsed="false">
      <c r="B989" s="572"/>
      <c r="C989" s="573"/>
      <c r="D989" s="574"/>
      <c r="E989" s="575"/>
      <c r="F989" s="575"/>
      <c r="G989" s="574"/>
      <c r="H989" s="574"/>
    </row>
    <row r="990" customFormat="false" ht="21" hidden="false" customHeight="true" outlineLevel="0" collapsed="false">
      <c r="B990" s="572"/>
      <c r="C990" s="573"/>
      <c r="D990" s="574"/>
      <c r="E990" s="575"/>
      <c r="F990" s="575"/>
      <c r="G990" s="574"/>
      <c r="H990" s="574"/>
    </row>
    <row r="991" customFormat="false" ht="21" hidden="false" customHeight="true" outlineLevel="0" collapsed="false">
      <c r="B991" s="572"/>
      <c r="C991" s="573"/>
      <c r="D991" s="574"/>
      <c r="E991" s="575"/>
      <c r="F991" s="575"/>
      <c r="G991" s="574"/>
      <c r="H991" s="574"/>
    </row>
    <row r="992" customFormat="false" ht="21" hidden="false" customHeight="true" outlineLevel="0" collapsed="false">
      <c r="B992" s="572"/>
      <c r="C992" s="573"/>
      <c r="D992" s="574"/>
      <c r="E992" s="575"/>
      <c r="F992" s="575"/>
      <c r="G992" s="574"/>
      <c r="H992" s="574"/>
    </row>
    <row r="993" customFormat="false" ht="21" hidden="false" customHeight="true" outlineLevel="0" collapsed="false">
      <c r="B993" s="572"/>
      <c r="C993" s="573"/>
      <c r="D993" s="574"/>
      <c r="E993" s="575"/>
      <c r="F993" s="575"/>
      <c r="G993" s="574"/>
      <c r="H993" s="574"/>
    </row>
    <row r="994" customFormat="false" ht="21" hidden="false" customHeight="true" outlineLevel="0" collapsed="false">
      <c r="B994" s="572"/>
      <c r="C994" s="573"/>
      <c r="D994" s="574"/>
      <c r="E994" s="575"/>
      <c r="F994" s="575"/>
      <c r="G994" s="574"/>
      <c r="H994" s="574"/>
    </row>
    <row r="995" customFormat="false" ht="21" hidden="false" customHeight="true" outlineLevel="0" collapsed="false">
      <c r="B995" s="572"/>
      <c r="C995" s="573"/>
      <c r="D995" s="574"/>
      <c r="E995" s="575"/>
      <c r="F995" s="575"/>
      <c r="G995" s="574"/>
      <c r="H995" s="574"/>
    </row>
    <row r="996" customFormat="false" ht="21" hidden="false" customHeight="true" outlineLevel="0" collapsed="false">
      <c r="B996" s="572"/>
      <c r="C996" s="573"/>
      <c r="D996" s="574"/>
      <c r="E996" s="575"/>
      <c r="F996" s="575"/>
      <c r="G996" s="574"/>
      <c r="H996" s="574"/>
    </row>
    <row r="997" customFormat="false" ht="21" hidden="false" customHeight="true" outlineLevel="0" collapsed="false">
      <c r="B997" s="572"/>
      <c r="C997" s="573"/>
      <c r="D997" s="574"/>
      <c r="E997" s="575"/>
      <c r="F997" s="575"/>
      <c r="G997" s="574"/>
      <c r="H997" s="574"/>
    </row>
    <row r="998" customFormat="false" ht="21" hidden="false" customHeight="true" outlineLevel="0" collapsed="false">
      <c r="B998" s="572"/>
      <c r="C998" s="573"/>
      <c r="D998" s="574"/>
      <c r="E998" s="575"/>
      <c r="F998" s="575"/>
      <c r="G998" s="574"/>
      <c r="H998" s="574"/>
    </row>
    <row r="999" customFormat="false" ht="21" hidden="false" customHeight="true" outlineLevel="0" collapsed="false">
      <c r="B999" s="572"/>
      <c r="C999" s="573"/>
      <c r="D999" s="574"/>
      <c r="E999" s="575"/>
      <c r="F999" s="575"/>
      <c r="G999" s="574"/>
      <c r="H999" s="574"/>
    </row>
    <row r="1000" customFormat="false" ht="21" hidden="false" customHeight="true" outlineLevel="0" collapsed="false">
      <c r="B1000" s="572"/>
      <c r="C1000" s="573"/>
      <c r="D1000" s="574"/>
      <c r="E1000" s="575"/>
      <c r="F1000" s="575"/>
      <c r="G1000" s="574"/>
      <c r="H1000" s="574"/>
    </row>
    <row r="1001" customFormat="false" ht="21" hidden="false" customHeight="true" outlineLevel="0" collapsed="false">
      <c r="B1001" s="572"/>
      <c r="C1001" s="573"/>
      <c r="D1001" s="574"/>
      <c r="E1001" s="575"/>
      <c r="F1001" s="575"/>
      <c r="G1001" s="574"/>
      <c r="H1001" s="574"/>
    </row>
    <row r="1002" customFormat="false" ht="21" hidden="false" customHeight="true" outlineLevel="0" collapsed="false">
      <c r="B1002" s="572"/>
      <c r="C1002" s="573"/>
      <c r="D1002" s="574"/>
      <c r="E1002" s="575"/>
      <c r="F1002" s="575"/>
      <c r="G1002" s="574"/>
      <c r="H1002" s="574"/>
    </row>
    <row r="1003" customFormat="false" ht="21" hidden="false" customHeight="true" outlineLevel="0" collapsed="false">
      <c r="B1003" s="572"/>
      <c r="C1003" s="573"/>
      <c r="D1003" s="574"/>
      <c r="E1003" s="575"/>
      <c r="F1003" s="575"/>
      <c r="G1003" s="574"/>
      <c r="H1003" s="574"/>
    </row>
    <row r="1004" customFormat="false" ht="21" hidden="false" customHeight="true" outlineLevel="0" collapsed="false">
      <c r="B1004" s="572"/>
      <c r="C1004" s="573"/>
      <c r="D1004" s="574"/>
      <c r="E1004" s="575"/>
      <c r="F1004" s="575"/>
      <c r="G1004" s="574"/>
      <c r="H1004" s="574"/>
    </row>
    <row r="1005" customFormat="false" ht="21" hidden="false" customHeight="true" outlineLevel="0" collapsed="false">
      <c r="B1005" s="572"/>
      <c r="C1005" s="573"/>
      <c r="D1005" s="574"/>
      <c r="E1005" s="575"/>
      <c r="F1005" s="575"/>
      <c r="G1005" s="574"/>
      <c r="H1005" s="574"/>
    </row>
    <row r="1006" customFormat="false" ht="21" hidden="false" customHeight="true" outlineLevel="0" collapsed="false">
      <c r="B1006" s="572"/>
      <c r="C1006" s="573"/>
      <c r="D1006" s="574"/>
      <c r="E1006" s="575"/>
      <c r="F1006" s="575"/>
      <c r="G1006" s="574"/>
      <c r="H1006" s="574"/>
    </row>
    <row r="1007" customFormat="false" ht="21" hidden="false" customHeight="true" outlineLevel="0" collapsed="false">
      <c r="B1007" s="572"/>
      <c r="C1007" s="573"/>
      <c r="D1007" s="574"/>
      <c r="E1007" s="575"/>
      <c r="F1007" s="575"/>
      <c r="G1007" s="574"/>
      <c r="H1007" s="574"/>
    </row>
    <row r="1008" customFormat="false" ht="21" hidden="false" customHeight="true" outlineLevel="0" collapsed="false">
      <c r="B1008" s="572"/>
      <c r="C1008" s="573"/>
      <c r="D1008" s="574"/>
      <c r="E1008" s="575"/>
      <c r="F1008" s="575"/>
      <c r="G1008" s="574"/>
      <c r="H1008" s="574"/>
    </row>
    <row r="1009" customFormat="false" ht="21" hidden="false" customHeight="true" outlineLevel="0" collapsed="false">
      <c r="B1009" s="572"/>
      <c r="C1009" s="573"/>
      <c r="D1009" s="574"/>
      <c r="E1009" s="575"/>
      <c r="F1009" s="575"/>
      <c r="G1009" s="574"/>
      <c r="H1009" s="574"/>
    </row>
    <row r="1010" customFormat="false" ht="21" hidden="false" customHeight="true" outlineLevel="0" collapsed="false">
      <c r="B1010" s="572"/>
      <c r="C1010" s="573"/>
      <c r="D1010" s="574"/>
      <c r="E1010" s="575"/>
      <c r="F1010" s="575"/>
      <c r="G1010" s="574"/>
      <c r="H1010" s="574"/>
    </row>
    <row r="1011" customFormat="false" ht="21" hidden="false" customHeight="true" outlineLevel="0" collapsed="false">
      <c r="B1011" s="572"/>
      <c r="C1011" s="573"/>
      <c r="D1011" s="574"/>
      <c r="E1011" s="575"/>
      <c r="F1011" s="575"/>
      <c r="G1011" s="574"/>
      <c r="H1011" s="574"/>
    </row>
    <row r="1012" customFormat="false" ht="21" hidden="false" customHeight="true" outlineLevel="0" collapsed="false">
      <c r="B1012" s="572"/>
      <c r="C1012" s="573"/>
      <c r="D1012" s="574"/>
      <c r="E1012" s="575"/>
      <c r="F1012" s="575"/>
      <c r="G1012" s="574"/>
      <c r="H1012" s="574"/>
    </row>
    <row r="1013" customFormat="false" ht="21" hidden="false" customHeight="true" outlineLevel="0" collapsed="false">
      <c r="B1013" s="572"/>
      <c r="C1013" s="573"/>
      <c r="D1013" s="574"/>
      <c r="E1013" s="575"/>
      <c r="F1013" s="575"/>
      <c r="G1013" s="574"/>
      <c r="H1013" s="574"/>
    </row>
    <row r="1014" customFormat="false" ht="21" hidden="false" customHeight="true" outlineLevel="0" collapsed="false">
      <c r="B1014" s="572"/>
      <c r="C1014" s="573"/>
      <c r="D1014" s="574"/>
      <c r="E1014" s="575"/>
      <c r="F1014" s="575"/>
      <c r="G1014" s="574"/>
      <c r="H1014" s="574"/>
    </row>
    <row r="1015" customFormat="false" ht="21" hidden="false" customHeight="true" outlineLevel="0" collapsed="false">
      <c r="B1015" s="572"/>
      <c r="C1015" s="573"/>
      <c r="D1015" s="574"/>
      <c r="E1015" s="575"/>
      <c r="F1015" s="575"/>
      <c r="G1015" s="574"/>
      <c r="H1015" s="574"/>
    </row>
    <row r="1016" customFormat="false" ht="21" hidden="false" customHeight="true" outlineLevel="0" collapsed="false">
      <c r="B1016" s="572"/>
      <c r="C1016" s="573"/>
      <c r="D1016" s="574"/>
      <c r="E1016" s="575"/>
      <c r="F1016" s="575"/>
      <c r="G1016" s="574"/>
      <c r="H1016" s="574"/>
    </row>
    <row r="1017" customFormat="false" ht="21" hidden="false" customHeight="true" outlineLevel="0" collapsed="false">
      <c r="B1017" s="572"/>
      <c r="C1017" s="573"/>
      <c r="D1017" s="574"/>
      <c r="E1017" s="575"/>
      <c r="F1017" s="575"/>
      <c r="G1017" s="574"/>
      <c r="H1017" s="574"/>
    </row>
    <row r="1018" customFormat="false" ht="21" hidden="false" customHeight="true" outlineLevel="0" collapsed="false">
      <c r="B1018" s="572"/>
      <c r="C1018" s="573"/>
      <c r="D1018" s="574"/>
      <c r="E1018" s="575"/>
      <c r="F1018" s="575"/>
      <c r="G1018" s="574"/>
      <c r="H1018" s="574"/>
    </row>
    <row r="1019" customFormat="false" ht="21" hidden="false" customHeight="true" outlineLevel="0" collapsed="false">
      <c r="B1019" s="572"/>
      <c r="C1019" s="573"/>
      <c r="D1019" s="574"/>
      <c r="E1019" s="575"/>
      <c r="F1019" s="575"/>
      <c r="G1019" s="574"/>
      <c r="H1019" s="574"/>
    </row>
    <row r="1020" customFormat="false" ht="21" hidden="false" customHeight="true" outlineLevel="0" collapsed="false">
      <c r="B1020" s="572"/>
      <c r="C1020" s="573"/>
      <c r="D1020" s="574"/>
      <c r="E1020" s="575"/>
      <c r="F1020" s="575"/>
      <c r="G1020" s="574"/>
      <c r="H1020" s="574"/>
    </row>
  </sheetData>
  <sheetProtection algorithmName="SHA-512" hashValue="EXral2l8TyrTJaWJ1d7EfW7PLzUrtf19CU0JkH7HU0tMT4vx2ANvqylIssw8Zq0TBaHdPhEZMPzoM3O/yT0aIg==" saltValue="2lS8TcFtz2NdDQBmXQuHsw==" spinCount="100000" sheet="true" objects="true" scenarios="true"/>
  <autoFilter ref="B7:H7">
    <sortState ref="B8:H7">
      <sortCondition ref="A8:A7" customList=""/>
    </sortState>
  </autoFilter>
  <mergeCells count="3">
    <mergeCell ref="B1:H1"/>
    <mergeCell ref="E2:F2"/>
    <mergeCell ref="B6:H6"/>
  </mergeCells>
  <dataValidations count="4">
    <dataValidation allowBlank="true" errorStyle="stop" operator="between" showDropDown="false" showErrorMessage="true" showInputMessage="true" sqref="E8:E483 E484:F1020" type="list">
      <formula1>Contenance</formula1>
      <formula2>0</formula2>
    </dataValidation>
    <dataValidation allowBlank="true" error="Format de la date incorrect, veuillez reessayer (JJ/MM/AA)" errorStyle="warning" errorTitle="Format incorrect" operator="between" showDropDown="false" showErrorMessage="true" showInputMessage="true" sqref="B8:B1020 C430:C1020" type="date">
      <formula1>42736</formula1>
      <formula2>43100</formula2>
    </dataValidation>
    <dataValidation allowBlank="true" error="Format de la date incorrect, veuillez reessayer (JJ/MM/AA)" errorStyle="warning" errorTitle="Format incorrect" operator="between" showDropDown="false" showErrorMessage="true" showInputMessage="true" sqref="C8:C429" type="none">
      <formula1>0</formula1>
      <formula2>0</formula2>
    </dataValidation>
    <dataValidation allowBlank="true" errorStyle="stop" operator="between" showDropDown="false" showErrorMessage="true" showInputMessage="true" sqref="F8:F483" type="list">
      <formula1>$N$7:$N$9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10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3" activeCellId="0" sqref="H3"/>
    </sheetView>
  </sheetViews>
  <sheetFormatPr defaultColWidth="8.73046875" defaultRowHeight="14.4" zeroHeight="false" outlineLevelRow="0" outlineLevelCol="0"/>
  <cols>
    <col collapsed="false" customWidth="true" hidden="false" outlineLevel="0" max="2" min="2" style="0" width="34.56"/>
    <col collapsed="false" customWidth="true" hidden="false" outlineLevel="0" max="3" min="3" style="0" width="20.98"/>
    <col collapsed="false" customWidth="true" hidden="false" outlineLevel="0" max="4" min="4" style="0" width="28.22"/>
    <col collapsed="false" customWidth="true" hidden="false" outlineLevel="0" max="5" min="5" style="0" width="25.33"/>
    <col collapsed="false" customWidth="true" hidden="false" outlineLevel="0" max="8" min="8" style="0" width="22.33"/>
    <col collapsed="false" customWidth="true" hidden="false" outlineLevel="0" max="9" min="9" style="0" width="14.01"/>
  </cols>
  <sheetData>
    <row r="1" customFormat="false" ht="20.4" hidden="false" customHeight="true" outlineLevel="0" collapsed="false"/>
    <row r="2" customFormat="false" ht="24" hidden="false" customHeight="true" outlineLevel="0" collapsed="false">
      <c r="B2" s="576" t="s">
        <v>264</v>
      </c>
      <c r="C2" s="576"/>
      <c r="D2" s="576"/>
      <c r="E2" s="576"/>
    </row>
    <row r="3" customFormat="false" ht="28.05" hidden="false" customHeight="true" outlineLevel="0" collapsed="false">
      <c r="B3" s="577" t="s">
        <v>265</v>
      </c>
      <c r="C3" s="577" t="s">
        <v>266</v>
      </c>
      <c r="D3" s="577" t="s">
        <v>267</v>
      </c>
      <c r="E3" s="577" t="s">
        <v>268</v>
      </c>
      <c r="H3" s="578" t="s">
        <v>269</v>
      </c>
      <c r="I3" s="579" t="n">
        <f aca="false">SUM(E4:E799)</f>
        <v>38250</v>
      </c>
    </row>
    <row r="4" customFormat="false" ht="28.05" hidden="false" customHeight="true" outlineLevel="0" collapsed="false">
      <c r="B4" s="262" t="s">
        <v>270</v>
      </c>
      <c r="C4" s="538" t="n">
        <v>1</v>
      </c>
      <c r="D4" s="331" t="n">
        <v>13000</v>
      </c>
      <c r="E4" s="331" t="n">
        <f aca="false">C4*D4</f>
        <v>13000</v>
      </c>
    </row>
    <row r="5" customFormat="false" ht="28.05" hidden="false" customHeight="true" outlineLevel="0" collapsed="false">
      <c r="B5" s="262" t="s">
        <v>271</v>
      </c>
      <c r="C5" s="538" t="n">
        <v>4</v>
      </c>
      <c r="D5" s="331" t="n">
        <v>2500</v>
      </c>
      <c r="E5" s="331" t="n">
        <f aca="false">C5*D5</f>
        <v>10000</v>
      </c>
    </row>
    <row r="6" customFormat="false" ht="28.05" hidden="false" customHeight="true" outlineLevel="0" collapsed="false">
      <c r="B6" s="262" t="s">
        <v>272</v>
      </c>
      <c r="C6" s="538" t="n">
        <v>1</v>
      </c>
      <c r="D6" s="331" t="n">
        <v>500</v>
      </c>
      <c r="E6" s="331" t="n">
        <f aca="false">C6*D6</f>
        <v>500</v>
      </c>
    </row>
    <row r="7" customFormat="false" ht="28.05" hidden="false" customHeight="true" outlineLevel="0" collapsed="false">
      <c r="B7" s="262" t="s">
        <v>273</v>
      </c>
      <c r="C7" s="538" t="n">
        <v>1</v>
      </c>
      <c r="D7" s="331" t="n">
        <v>250</v>
      </c>
      <c r="E7" s="331" t="n">
        <f aca="false">C7*D7</f>
        <v>250</v>
      </c>
    </row>
    <row r="8" customFormat="false" ht="28.05" hidden="false" customHeight="true" outlineLevel="0" collapsed="false">
      <c r="B8" s="262" t="s">
        <v>274</v>
      </c>
      <c r="C8" s="538" t="n">
        <v>3</v>
      </c>
      <c r="D8" s="331" t="n">
        <v>100</v>
      </c>
      <c r="E8" s="331" t="n">
        <f aca="false">C8*D8</f>
        <v>300</v>
      </c>
    </row>
    <row r="9" customFormat="false" ht="28.05" hidden="false" customHeight="true" outlineLevel="0" collapsed="false">
      <c r="B9" s="262" t="s">
        <v>275</v>
      </c>
      <c r="C9" s="538" t="n">
        <v>1</v>
      </c>
      <c r="D9" s="331" t="n">
        <v>300</v>
      </c>
      <c r="E9" s="331" t="n">
        <f aca="false">C9*D9</f>
        <v>300</v>
      </c>
    </row>
    <row r="10" customFormat="false" ht="28.05" hidden="false" customHeight="true" outlineLevel="0" collapsed="false">
      <c r="B10" s="262" t="s">
        <v>276</v>
      </c>
      <c r="C10" s="538" t="n">
        <v>1</v>
      </c>
      <c r="D10" s="331" t="n">
        <v>2000</v>
      </c>
      <c r="E10" s="331" t="n">
        <f aca="false">C10*D10</f>
        <v>2000</v>
      </c>
    </row>
    <row r="11" customFormat="false" ht="28.05" hidden="false" customHeight="true" outlineLevel="0" collapsed="false">
      <c r="B11" s="262" t="s">
        <v>277</v>
      </c>
      <c r="C11" s="538" t="n">
        <v>1</v>
      </c>
      <c r="D11" s="331" t="n">
        <v>900</v>
      </c>
      <c r="E11" s="331" t="n">
        <f aca="false">C11*D11</f>
        <v>900</v>
      </c>
    </row>
    <row r="12" customFormat="false" ht="28.05" hidden="false" customHeight="true" outlineLevel="0" collapsed="false">
      <c r="B12" s="262" t="s">
        <v>278</v>
      </c>
      <c r="C12" s="538" t="n">
        <v>1</v>
      </c>
      <c r="D12" s="331" t="n">
        <v>1500</v>
      </c>
      <c r="E12" s="331" t="n">
        <f aca="false">C12*D12</f>
        <v>1500</v>
      </c>
    </row>
    <row r="13" customFormat="false" ht="28.05" hidden="false" customHeight="true" outlineLevel="0" collapsed="false">
      <c r="B13" s="262" t="s">
        <v>279</v>
      </c>
      <c r="C13" s="538" t="n">
        <v>1</v>
      </c>
      <c r="D13" s="331" t="n">
        <v>6500</v>
      </c>
      <c r="E13" s="331" t="n">
        <f aca="false">C13*D13</f>
        <v>6500</v>
      </c>
    </row>
    <row r="14" customFormat="false" ht="28.05" hidden="false" customHeight="true" outlineLevel="0" collapsed="false">
      <c r="B14" s="262" t="s">
        <v>280</v>
      </c>
      <c r="C14" s="538" t="n">
        <v>1</v>
      </c>
      <c r="D14" s="331" t="n">
        <v>3000</v>
      </c>
      <c r="E14" s="331" t="n">
        <f aca="false">C14*D14</f>
        <v>3000</v>
      </c>
    </row>
    <row r="15" customFormat="false" ht="28.05" hidden="false" customHeight="true" outlineLevel="0" collapsed="false">
      <c r="B15" s="262"/>
      <c r="C15" s="538"/>
      <c r="D15" s="331"/>
      <c r="E15" s="331" t="n">
        <f aca="false">C15*D15</f>
        <v>0</v>
      </c>
    </row>
    <row r="16" customFormat="false" ht="28.05" hidden="false" customHeight="true" outlineLevel="0" collapsed="false">
      <c r="B16" s="262"/>
      <c r="C16" s="538"/>
      <c r="D16" s="331"/>
      <c r="E16" s="331" t="n">
        <f aca="false">C16*D16</f>
        <v>0</v>
      </c>
    </row>
    <row r="17" customFormat="false" ht="28.05" hidden="false" customHeight="true" outlineLevel="0" collapsed="false">
      <c r="B17" s="262"/>
      <c r="C17" s="538"/>
      <c r="D17" s="331"/>
      <c r="E17" s="331" t="n">
        <f aca="false">C17*D17</f>
        <v>0</v>
      </c>
    </row>
    <row r="18" customFormat="false" ht="28.05" hidden="false" customHeight="true" outlineLevel="0" collapsed="false">
      <c r="B18" s="262"/>
      <c r="C18" s="538"/>
      <c r="D18" s="331"/>
      <c r="E18" s="331" t="n">
        <f aca="false">C18*D18</f>
        <v>0</v>
      </c>
    </row>
    <row r="19" customFormat="false" ht="28.05" hidden="false" customHeight="true" outlineLevel="0" collapsed="false">
      <c r="B19" s="262"/>
      <c r="C19" s="538"/>
      <c r="D19" s="331"/>
      <c r="E19" s="331" t="n">
        <f aca="false">C19*D19</f>
        <v>0</v>
      </c>
    </row>
    <row r="20" customFormat="false" ht="24" hidden="false" customHeight="true" outlineLevel="0" collapsed="false">
      <c r="B20" s="262"/>
      <c r="C20" s="538"/>
      <c r="D20" s="331"/>
      <c r="E20" s="331" t="n">
        <f aca="false">C20*D20</f>
        <v>0</v>
      </c>
    </row>
    <row r="21" customFormat="false" ht="24" hidden="false" customHeight="true" outlineLevel="0" collapsed="false">
      <c r="B21" s="262"/>
      <c r="C21" s="538"/>
      <c r="D21" s="331"/>
      <c r="E21" s="331" t="n">
        <f aca="false">C21*D21</f>
        <v>0</v>
      </c>
    </row>
    <row r="22" customFormat="false" ht="24" hidden="false" customHeight="true" outlineLevel="0" collapsed="false">
      <c r="B22" s="262"/>
      <c r="C22" s="538"/>
      <c r="D22" s="331"/>
      <c r="E22" s="331" t="n">
        <f aca="false">C22*D22</f>
        <v>0</v>
      </c>
    </row>
    <row r="23" customFormat="false" ht="28.05" hidden="false" customHeight="true" outlineLevel="0" collapsed="false">
      <c r="B23" s="262"/>
      <c r="C23" s="538"/>
      <c r="D23" s="331"/>
      <c r="E23" s="331"/>
    </row>
    <row r="24" customFormat="false" ht="28.05" hidden="false" customHeight="true" outlineLevel="0" collapsed="false">
      <c r="B24" s="262"/>
      <c r="C24" s="538"/>
      <c r="D24" s="331"/>
      <c r="E24" s="331"/>
    </row>
    <row r="25" customFormat="false" ht="28.05" hidden="false" customHeight="true" outlineLevel="0" collapsed="false">
      <c r="B25" s="262"/>
      <c r="C25" s="538"/>
      <c r="D25" s="331"/>
      <c r="E25" s="331"/>
    </row>
    <row r="26" customFormat="false" ht="28.05" hidden="false" customHeight="true" outlineLevel="0" collapsed="false">
      <c r="B26" s="262"/>
      <c r="C26" s="538"/>
      <c r="D26" s="331"/>
      <c r="E26" s="331"/>
    </row>
    <row r="27" customFormat="false" ht="28.05" hidden="false" customHeight="true" outlineLevel="0" collapsed="false">
      <c r="B27" s="262"/>
      <c r="C27" s="538"/>
      <c r="D27" s="331"/>
      <c r="E27" s="331"/>
    </row>
    <row r="28" customFormat="false" ht="28.05" hidden="false" customHeight="true" outlineLevel="0" collapsed="false">
      <c r="B28" s="262"/>
      <c r="C28" s="538"/>
      <c r="D28" s="331"/>
      <c r="E28" s="331"/>
    </row>
    <row r="29" customFormat="false" ht="28.05" hidden="false" customHeight="true" outlineLevel="0" collapsed="false">
      <c r="B29" s="262"/>
      <c r="C29" s="538"/>
      <c r="D29" s="331"/>
      <c r="E29" s="331"/>
    </row>
    <row r="30" customFormat="false" ht="28.05" hidden="false" customHeight="true" outlineLevel="0" collapsed="false">
      <c r="B30" s="580"/>
      <c r="C30" s="581"/>
      <c r="D30" s="582"/>
      <c r="E30" s="582"/>
    </row>
    <row r="31" customFormat="false" ht="28.05" hidden="false" customHeight="true" outlineLevel="0" collapsed="false">
      <c r="B31" s="580"/>
      <c r="C31" s="580"/>
      <c r="D31" s="583"/>
      <c r="E31" s="583"/>
    </row>
    <row r="32" customFormat="false" ht="28.05" hidden="false" customHeight="true" outlineLevel="0" collapsed="false">
      <c r="B32" s="580"/>
      <c r="C32" s="580"/>
      <c r="D32" s="583"/>
      <c r="E32" s="583"/>
    </row>
    <row r="33" customFormat="false" ht="28.05" hidden="false" customHeight="true" outlineLevel="0" collapsed="false">
      <c r="B33" s="580"/>
      <c r="C33" s="580"/>
      <c r="D33" s="583"/>
      <c r="E33" s="583"/>
    </row>
    <row r="34" customFormat="false" ht="28.05" hidden="false" customHeight="true" outlineLevel="0" collapsed="false">
      <c r="B34" s="580"/>
      <c r="C34" s="580"/>
      <c r="D34" s="583"/>
      <c r="E34" s="583"/>
    </row>
    <row r="35" customFormat="false" ht="28.05" hidden="false" customHeight="true" outlineLevel="0" collapsed="false">
      <c r="B35" s="580"/>
      <c r="C35" s="580"/>
      <c r="D35" s="583"/>
      <c r="E35" s="583"/>
    </row>
    <row r="36" customFormat="false" ht="28.05" hidden="false" customHeight="true" outlineLevel="0" collapsed="false">
      <c r="B36" s="580"/>
      <c r="C36" s="580"/>
      <c r="D36" s="583"/>
      <c r="E36" s="583"/>
    </row>
    <row r="37" customFormat="false" ht="28.05" hidden="false" customHeight="true" outlineLevel="0" collapsed="false">
      <c r="B37" s="580"/>
      <c r="C37" s="580"/>
      <c r="D37" s="583"/>
      <c r="E37" s="583"/>
    </row>
    <row r="38" customFormat="false" ht="28.05" hidden="false" customHeight="true" outlineLevel="0" collapsed="false">
      <c r="B38" s="580"/>
      <c r="C38" s="580"/>
      <c r="D38" s="583"/>
      <c r="E38" s="583"/>
    </row>
    <row r="39" customFormat="false" ht="28.05" hidden="false" customHeight="true" outlineLevel="0" collapsed="false">
      <c r="B39" s="580"/>
      <c r="C39" s="580"/>
      <c r="D39" s="583"/>
      <c r="E39" s="583"/>
    </row>
    <row r="40" customFormat="false" ht="28.05" hidden="false" customHeight="true" outlineLevel="0" collapsed="false">
      <c r="B40" s="580"/>
      <c r="C40" s="580"/>
      <c r="D40" s="583"/>
      <c r="E40" s="583"/>
    </row>
    <row r="41" customFormat="false" ht="28.05" hidden="false" customHeight="true" outlineLevel="0" collapsed="false">
      <c r="B41" s="580"/>
      <c r="C41" s="580"/>
      <c r="D41" s="583"/>
      <c r="E41" s="583"/>
    </row>
    <row r="42" customFormat="false" ht="28.05" hidden="false" customHeight="true" outlineLevel="0" collapsed="false">
      <c r="B42" s="580"/>
      <c r="C42" s="580"/>
      <c r="D42" s="583"/>
      <c r="E42" s="583"/>
    </row>
    <row r="43" customFormat="false" ht="28.05" hidden="false" customHeight="true" outlineLevel="0" collapsed="false">
      <c r="B43" s="580"/>
      <c r="C43" s="580"/>
      <c r="D43" s="583"/>
      <c r="E43" s="583"/>
    </row>
    <row r="44" customFormat="false" ht="28.05" hidden="false" customHeight="true" outlineLevel="0" collapsed="false">
      <c r="B44" s="580"/>
      <c r="C44" s="580"/>
      <c r="D44" s="583"/>
      <c r="E44" s="583"/>
    </row>
    <row r="45" customFormat="false" ht="28.05" hidden="false" customHeight="true" outlineLevel="0" collapsed="false">
      <c r="B45" s="580"/>
      <c r="C45" s="580"/>
      <c r="D45" s="583"/>
      <c r="E45" s="583"/>
    </row>
    <row r="46" customFormat="false" ht="28.05" hidden="false" customHeight="true" outlineLevel="0" collapsed="false">
      <c r="B46" s="580"/>
      <c r="C46" s="580"/>
      <c r="D46" s="583"/>
      <c r="E46" s="583"/>
    </row>
    <row r="47" customFormat="false" ht="28.05" hidden="false" customHeight="true" outlineLevel="0" collapsed="false">
      <c r="B47" s="580"/>
      <c r="C47" s="580"/>
      <c r="D47" s="583"/>
      <c r="E47" s="583"/>
    </row>
    <row r="48" customFormat="false" ht="28.05" hidden="false" customHeight="true" outlineLevel="0" collapsed="false">
      <c r="B48" s="580"/>
      <c r="C48" s="580"/>
      <c r="D48" s="583"/>
      <c r="E48" s="583"/>
    </row>
    <row r="49" customFormat="false" ht="28.05" hidden="false" customHeight="true" outlineLevel="0" collapsed="false">
      <c r="B49" s="580"/>
      <c r="C49" s="580"/>
      <c r="D49" s="583"/>
      <c r="E49" s="583"/>
    </row>
    <row r="50" customFormat="false" ht="28.05" hidden="false" customHeight="true" outlineLevel="0" collapsed="false">
      <c r="B50" s="580"/>
      <c r="C50" s="580"/>
      <c r="D50" s="583"/>
      <c r="E50" s="583"/>
    </row>
    <row r="51" customFormat="false" ht="28.05" hidden="false" customHeight="true" outlineLevel="0" collapsed="false">
      <c r="B51" s="580"/>
      <c r="C51" s="580"/>
      <c r="D51" s="583"/>
      <c r="E51" s="583"/>
    </row>
    <row r="52" customFormat="false" ht="28.05" hidden="false" customHeight="true" outlineLevel="0" collapsed="false">
      <c r="B52" s="580"/>
      <c r="C52" s="580"/>
      <c r="D52" s="583"/>
      <c r="E52" s="583"/>
    </row>
    <row r="53" customFormat="false" ht="28.05" hidden="false" customHeight="true" outlineLevel="0" collapsed="false">
      <c r="B53" s="580"/>
      <c r="C53" s="580"/>
      <c r="D53" s="583"/>
      <c r="E53" s="583"/>
    </row>
    <row r="54" customFormat="false" ht="28.05" hidden="false" customHeight="true" outlineLevel="0" collapsed="false">
      <c r="B54" s="580"/>
      <c r="C54" s="580"/>
      <c r="D54" s="583"/>
      <c r="E54" s="583"/>
    </row>
    <row r="55" customFormat="false" ht="28.05" hidden="false" customHeight="true" outlineLevel="0" collapsed="false">
      <c r="B55" s="580"/>
      <c r="C55" s="580"/>
      <c r="D55" s="583"/>
      <c r="E55" s="583"/>
    </row>
    <row r="56" customFormat="false" ht="28.05" hidden="false" customHeight="true" outlineLevel="0" collapsed="false">
      <c r="B56" s="580"/>
      <c r="C56" s="580"/>
      <c r="D56" s="583"/>
      <c r="E56" s="583"/>
    </row>
    <row r="57" customFormat="false" ht="28.05" hidden="false" customHeight="true" outlineLevel="0" collapsed="false">
      <c r="B57" s="580"/>
      <c r="C57" s="580"/>
      <c r="D57" s="583"/>
      <c r="E57" s="583"/>
    </row>
    <row r="58" customFormat="false" ht="28.05" hidden="false" customHeight="true" outlineLevel="0" collapsed="false">
      <c r="B58" s="580"/>
      <c r="C58" s="580"/>
      <c r="D58" s="583"/>
      <c r="E58" s="583"/>
    </row>
    <row r="59" customFormat="false" ht="28.05" hidden="false" customHeight="true" outlineLevel="0" collapsed="false">
      <c r="B59" s="580"/>
      <c r="C59" s="580"/>
      <c r="D59" s="583"/>
      <c r="E59" s="583"/>
    </row>
    <row r="60" customFormat="false" ht="28.05" hidden="false" customHeight="true" outlineLevel="0" collapsed="false">
      <c r="B60" s="580"/>
      <c r="C60" s="580"/>
      <c r="D60" s="583"/>
      <c r="E60" s="583"/>
    </row>
    <row r="61" customFormat="false" ht="28.05" hidden="false" customHeight="true" outlineLevel="0" collapsed="false">
      <c r="B61" s="580"/>
      <c r="C61" s="580"/>
      <c r="D61" s="583"/>
      <c r="E61" s="583"/>
    </row>
    <row r="62" customFormat="false" ht="28.05" hidden="false" customHeight="true" outlineLevel="0" collapsed="false">
      <c r="B62" s="580"/>
      <c r="C62" s="580"/>
      <c r="D62" s="583"/>
      <c r="E62" s="583"/>
    </row>
    <row r="63" customFormat="false" ht="28.05" hidden="false" customHeight="true" outlineLevel="0" collapsed="false">
      <c r="B63" s="580"/>
      <c r="C63" s="580"/>
      <c r="D63" s="583"/>
      <c r="E63" s="583"/>
    </row>
    <row r="64" customFormat="false" ht="28.05" hidden="false" customHeight="true" outlineLevel="0" collapsed="false">
      <c r="B64" s="580"/>
      <c r="C64" s="580"/>
      <c r="D64" s="583"/>
      <c r="E64" s="583"/>
    </row>
    <row r="65" customFormat="false" ht="28.05" hidden="false" customHeight="true" outlineLevel="0" collapsed="false">
      <c r="B65" s="580"/>
      <c r="C65" s="580"/>
      <c r="D65" s="583"/>
      <c r="E65" s="583"/>
    </row>
    <row r="66" customFormat="false" ht="28.05" hidden="false" customHeight="true" outlineLevel="0" collapsed="false">
      <c r="B66" s="580"/>
      <c r="C66" s="580"/>
      <c r="D66" s="583"/>
      <c r="E66" s="583"/>
    </row>
    <row r="67" customFormat="false" ht="28.05" hidden="false" customHeight="true" outlineLevel="0" collapsed="false">
      <c r="B67" s="580"/>
      <c r="C67" s="580"/>
      <c r="D67" s="583"/>
      <c r="E67" s="583"/>
    </row>
    <row r="68" customFormat="false" ht="28.05" hidden="false" customHeight="true" outlineLevel="0" collapsed="false">
      <c r="B68" s="580"/>
      <c r="C68" s="580"/>
      <c r="D68" s="583"/>
      <c r="E68" s="583"/>
    </row>
    <row r="69" customFormat="false" ht="28.05" hidden="false" customHeight="true" outlineLevel="0" collapsed="false">
      <c r="B69" s="580"/>
      <c r="C69" s="580"/>
      <c r="D69" s="583"/>
      <c r="E69" s="583"/>
    </row>
    <row r="70" customFormat="false" ht="28.05" hidden="false" customHeight="true" outlineLevel="0" collapsed="false">
      <c r="B70" s="580"/>
      <c r="C70" s="580"/>
      <c r="D70" s="583"/>
      <c r="E70" s="583"/>
    </row>
    <row r="71" customFormat="false" ht="28.05" hidden="false" customHeight="true" outlineLevel="0" collapsed="false">
      <c r="B71" s="580"/>
      <c r="C71" s="580"/>
      <c r="D71" s="583"/>
      <c r="E71" s="583"/>
    </row>
    <row r="72" customFormat="false" ht="28.05" hidden="false" customHeight="true" outlineLevel="0" collapsed="false">
      <c r="B72" s="580"/>
      <c r="C72" s="580"/>
      <c r="D72" s="583"/>
      <c r="E72" s="583"/>
    </row>
    <row r="73" customFormat="false" ht="28.05" hidden="false" customHeight="true" outlineLevel="0" collapsed="false">
      <c r="B73" s="580"/>
      <c r="C73" s="580"/>
      <c r="D73" s="583"/>
      <c r="E73" s="583"/>
    </row>
    <row r="74" customFormat="false" ht="28.05" hidden="false" customHeight="true" outlineLevel="0" collapsed="false">
      <c r="B74" s="580"/>
      <c r="C74" s="580"/>
      <c r="D74" s="583"/>
      <c r="E74" s="583"/>
    </row>
    <row r="75" customFormat="false" ht="28.05" hidden="false" customHeight="true" outlineLevel="0" collapsed="false">
      <c r="B75" s="580"/>
      <c r="C75" s="580"/>
      <c r="D75" s="583"/>
      <c r="E75" s="583"/>
    </row>
    <row r="76" customFormat="false" ht="28.05" hidden="false" customHeight="true" outlineLevel="0" collapsed="false">
      <c r="B76" s="580"/>
      <c r="C76" s="580"/>
      <c r="D76" s="583"/>
      <c r="E76" s="583"/>
    </row>
    <row r="77" customFormat="false" ht="28.05" hidden="false" customHeight="true" outlineLevel="0" collapsed="false">
      <c r="B77" s="580"/>
      <c r="C77" s="580"/>
      <c r="D77" s="583"/>
      <c r="E77" s="583"/>
    </row>
    <row r="78" customFormat="false" ht="28.05" hidden="false" customHeight="true" outlineLevel="0" collapsed="false">
      <c r="B78" s="580"/>
      <c r="C78" s="580"/>
      <c r="D78" s="583"/>
      <c r="E78" s="583"/>
    </row>
    <row r="79" customFormat="false" ht="28.05" hidden="false" customHeight="true" outlineLevel="0" collapsed="false">
      <c r="B79" s="580"/>
      <c r="C79" s="580"/>
      <c r="D79" s="583"/>
      <c r="E79" s="583"/>
    </row>
    <row r="80" customFormat="false" ht="28.05" hidden="false" customHeight="true" outlineLevel="0" collapsed="false">
      <c r="B80" s="580"/>
      <c r="C80" s="580"/>
      <c r="D80" s="583"/>
      <c r="E80" s="583"/>
    </row>
    <row r="81" customFormat="false" ht="28.05" hidden="false" customHeight="true" outlineLevel="0" collapsed="false">
      <c r="B81" s="580"/>
      <c r="C81" s="580"/>
      <c r="D81" s="583"/>
      <c r="E81" s="583"/>
    </row>
    <row r="82" customFormat="false" ht="28.05" hidden="false" customHeight="true" outlineLevel="0" collapsed="false">
      <c r="B82" s="580"/>
      <c r="C82" s="580"/>
      <c r="D82" s="583"/>
      <c r="E82" s="583"/>
    </row>
    <row r="83" customFormat="false" ht="28.05" hidden="false" customHeight="true" outlineLevel="0" collapsed="false">
      <c r="B83" s="580"/>
      <c r="C83" s="580"/>
      <c r="D83" s="583"/>
      <c r="E83" s="583"/>
    </row>
    <row r="84" customFormat="false" ht="28.05" hidden="false" customHeight="true" outlineLevel="0" collapsed="false">
      <c r="B84" s="580"/>
      <c r="C84" s="580"/>
      <c r="D84" s="583"/>
      <c r="E84" s="583"/>
    </row>
    <row r="85" customFormat="false" ht="28.05" hidden="false" customHeight="true" outlineLevel="0" collapsed="false">
      <c r="B85" s="580"/>
      <c r="C85" s="580"/>
      <c r="D85" s="583"/>
      <c r="E85" s="583"/>
    </row>
    <row r="86" customFormat="false" ht="28.05" hidden="false" customHeight="true" outlineLevel="0" collapsed="false">
      <c r="B86" s="580"/>
      <c r="C86" s="580"/>
      <c r="D86" s="583"/>
      <c r="E86" s="583"/>
    </row>
    <row r="87" customFormat="false" ht="28.05" hidden="false" customHeight="true" outlineLevel="0" collapsed="false">
      <c r="B87" s="580"/>
      <c r="C87" s="580"/>
      <c r="D87" s="583"/>
      <c r="E87" s="583"/>
    </row>
    <row r="88" customFormat="false" ht="28.05" hidden="false" customHeight="true" outlineLevel="0" collapsed="false">
      <c r="B88" s="580"/>
      <c r="C88" s="580"/>
      <c r="D88" s="583"/>
      <c r="E88" s="583"/>
    </row>
    <row r="89" customFormat="false" ht="28.05" hidden="false" customHeight="true" outlineLevel="0" collapsed="false">
      <c r="B89" s="580"/>
      <c r="C89" s="580"/>
      <c r="D89" s="583"/>
      <c r="E89" s="583"/>
    </row>
    <row r="90" customFormat="false" ht="28.05" hidden="false" customHeight="true" outlineLevel="0" collapsed="false">
      <c r="B90" s="580"/>
      <c r="C90" s="580"/>
      <c r="D90" s="583"/>
      <c r="E90" s="583"/>
    </row>
    <row r="91" customFormat="false" ht="28.05" hidden="false" customHeight="true" outlineLevel="0" collapsed="false">
      <c r="B91" s="580"/>
      <c r="C91" s="580"/>
      <c r="D91" s="583"/>
      <c r="E91" s="583"/>
    </row>
    <row r="92" customFormat="false" ht="28.05" hidden="false" customHeight="true" outlineLevel="0" collapsed="false">
      <c r="B92" s="580"/>
      <c r="C92" s="580"/>
      <c r="D92" s="583"/>
      <c r="E92" s="583"/>
    </row>
    <row r="93" customFormat="false" ht="28.05" hidden="false" customHeight="true" outlineLevel="0" collapsed="false">
      <c r="B93" s="580"/>
      <c r="C93" s="580"/>
      <c r="D93" s="583"/>
      <c r="E93" s="583"/>
    </row>
    <row r="94" customFormat="false" ht="28.05" hidden="false" customHeight="true" outlineLevel="0" collapsed="false">
      <c r="B94" s="580"/>
      <c r="C94" s="580"/>
      <c r="D94" s="583"/>
      <c r="E94" s="583"/>
    </row>
    <row r="95" customFormat="false" ht="28.05" hidden="false" customHeight="true" outlineLevel="0" collapsed="false">
      <c r="B95" s="580"/>
      <c r="C95" s="580"/>
      <c r="D95" s="583"/>
      <c r="E95" s="583"/>
    </row>
    <row r="96" customFormat="false" ht="28.05" hidden="false" customHeight="true" outlineLevel="0" collapsed="false">
      <c r="B96" s="580"/>
      <c r="C96" s="580"/>
      <c r="D96" s="583"/>
      <c r="E96" s="583"/>
    </row>
    <row r="97" customFormat="false" ht="28.05" hidden="false" customHeight="true" outlineLevel="0" collapsed="false">
      <c r="B97" s="580"/>
      <c r="C97" s="580"/>
      <c r="D97" s="583"/>
      <c r="E97" s="583"/>
    </row>
    <row r="98" customFormat="false" ht="28.05" hidden="false" customHeight="true" outlineLevel="0" collapsed="false">
      <c r="B98" s="580"/>
      <c r="C98" s="580"/>
      <c r="D98" s="583"/>
      <c r="E98" s="583"/>
    </row>
    <row r="99" customFormat="false" ht="28.05" hidden="false" customHeight="true" outlineLevel="0" collapsed="false">
      <c r="B99" s="580"/>
      <c r="C99" s="580"/>
      <c r="D99" s="583"/>
      <c r="E99" s="583"/>
    </row>
    <row r="100" customFormat="false" ht="28.05" hidden="false" customHeight="true" outlineLevel="0" collapsed="false">
      <c r="B100" s="580"/>
      <c r="C100" s="580"/>
      <c r="D100" s="583"/>
      <c r="E100" s="583"/>
    </row>
  </sheetData>
  <autoFilter ref="B3:E3">
    <sortState ref="B4:E3">
      <sortCondition ref="C4:C3" descending="1" customList=""/>
    </sortState>
  </autoFilter>
  <mergeCells count="1">
    <mergeCell ref="B2:E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2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ColWidth="8.73046875" defaultRowHeight="14.4" zeroHeight="false" outlineLevelRow="0" outlineLevelCol="0"/>
  <cols>
    <col collapsed="false" customWidth="true" hidden="false" outlineLevel="0" max="4" min="2" style="0" width="15.8"/>
    <col collapsed="false" customWidth="true" hidden="false" outlineLevel="0" max="5" min="5" style="0" width="20.78"/>
    <col collapsed="false" customWidth="true" hidden="false" outlineLevel="0" max="6" min="6" style="0" width="15.8"/>
    <col collapsed="false" customWidth="true" hidden="false" outlineLevel="0" max="7" min="7" style="0" width="20.78"/>
    <col collapsed="false" customWidth="true" hidden="false" outlineLevel="0" max="8" min="8" style="0" width="15.8"/>
    <col collapsed="false" customWidth="true" hidden="false" outlineLevel="0" max="9" min="9" style="0" width="20.78"/>
    <col collapsed="false" customWidth="true" hidden="false" outlineLevel="0" max="10" min="10" style="0" width="15.8"/>
    <col collapsed="false" customWidth="true" hidden="false" outlineLevel="0" max="11" min="11" style="0" width="20.78"/>
    <col collapsed="false" customWidth="true" hidden="false" outlineLevel="0" max="12" min="12" style="0" width="15.8"/>
  </cols>
  <sheetData>
    <row r="1" customFormat="false" ht="25.8" hidden="false" customHeight="true" outlineLevel="0" collapsed="false">
      <c r="D1" s="584" t="s">
        <v>281</v>
      </c>
      <c r="E1" s="584"/>
      <c r="F1" s="584" t="s">
        <v>282</v>
      </c>
      <c r="G1" s="584"/>
      <c r="H1" s="584" t="s">
        <v>283</v>
      </c>
      <c r="I1" s="584"/>
      <c r="J1" s="584" t="s">
        <v>284</v>
      </c>
      <c r="K1" s="584"/>
    </row>
    <row r="2" customFormat="false" ht="44.4" hidden="false" customHeight="true" outlineLevel="0" collapsed="false"/>
    <row r="3" customFormat="false" ht="44.4" hidden="false" customHeight="true" outlineLevel="0" collapsed="false"/>
    <row r="4" customFormat="false" ht="22.05" hidden="false" customHeight="true" outlineLevel="0" collapsed="false"/>
    <row r="5" customFormat="false" ht="22.05" hidden="false" customHeight="true" outlineLevel="0" collapsed="false"/>
    <row r="6" customFormat="false" ht="22.05" hidden="false" customHeight="true" outlineLevel="0" collapsed="false"/>
    <row r="7" customFormat="false" ht="22.05" hidden="false" customHeight="true" outlineLevel="0" collapsed="false"/>
    <row r="8" customFormat="false" ht="22.05" hidden="false" customHeight="true" outlineLevel="0" collapsed="false"/>
    <row r="9" customFormat="false" ht="22.05" hidden="false" customHeight="true" outlineLevel="0" collapsed="false"/>
    <row r="10" s="585" customFormat="true" ht="22.05" hidden="false" customHeight="true" outlineLevel="0" collapsed="false"/>
    <row r="11" customFormat="false" ht="22.05" hidden="false" customHeight="true" outlineLevel="0" collapsed="false"/>
    <row r="12" customFormat="false" ht="22.05" hidden="false" customHeight="true" outlineLevel="0" collapsed="false"/>
    <row r="13" customFormat="false" ht="22.05" hidden="false" customHeight="true" outlineLevel="0" collapsed="false"/>
    <row r="14" customFormat="false" ht="22.05" hidden="false" customHeight="true" outlineLevel="0" collapsed="false"/>
    <row r="15" customFormat="false" ht="22.05" hidden="false" customHeight="true" outlineLevel="0" collapsed="false"/>
    <row r="16" customFormat="false" ht="22.05" hidden="false" customHeight="true" outlineLevel="0" collapsed="false"/>
    <row r="57" customFormat="false" ht="14.4" hidden="false" customHeight="false" outlineLevel="0" collapsed="false">
      <c r="D57" s="584" t="s">
        <v>281</v>
      </c>
      <c r="E57" s="584"/>
      <c r="F57" s="584" t="s">
        <v>282</v>
      </c>
      <c r="G57" s="584"/>
      <c r="H57" s="584" t="s">
        <v>283</v>
      </c>
      <c r="I57" s="584"/>
      <c r="J57" s="584" t="s">
        <v>284</v>
      </c>
      <c r="K57" s="584"/>
    </row>
    <row r="58" customFormat="false" ht="43.2" hidden="false" customHeight="true" outlineLevel="0" collapsed="false">
      <c r="B58" s="327" t="s">
        <v>179</v>
      </c>
      <c r="C58" s="328" t="s">
        <v>180</v>
      </c>
      <c r="D58" s="329" t="s">
        <v>181</v>
      </c>
      <c r="E58" s="329" t="s">
        <v>182</v>
      </c>
      <c r="F58" s="329" t="s">
        <v>181</v>
      </c>
      <c r="G58" s="329" t="s">
        <v>183</v>
      </c>
      <c r="H58" s="329" t="s">
        <v>181</v>
      </c>
      <c r="I58" s="329" t="s">
        <v>184</v>
      </c>
      <c r="J58" s="329" t="s">
        <v>181</v>
      </c>
      <c r="K58" s="329" t="s">
        <v>185</v>
      </c>
      <c r="L58" s="329" t="s">
        <v>186</v>
      </c>
    </row>
    <row r="59" customFormat="false" ht="28.8" hidden="false" customHeight="false" outlineLevel="0" collapsed="false">
      <c r="B59" s="327"/>
      <c r="C59" s="328"/>
      <c r="D59" s="329"/>
      <c r="E59" s="329"/>
      <c r="F59" s="329"/>
      <c r="G59" s="329"/>
      <c r="H59" s="329"/>
      <c r="I59" s="329"/>
      <c r="J59" s="329"/>
      <c r="K59" s="329"/>
      <c r="L59" s="329" t="s">
        <v>181</v>
      </c>
    </row>
    <row r="60" customFormat="false" ht="15.6" hidden="false" customHeight="false" outlineLevel="0" collapsed="false">
      <c r="B60" s="330" t="n">
        <v>0.7</v>
      </c>
      <c r="C60" s="279" t="str">
        <f aca="false">C66*B60&amp;" (-30%)"</f>
        <v>3,5 (-30%)</v>
      </c>
      <c r="D60" s="331" t="n">
        <f aca="false">'Projections Recette 1'!D59*B60</f>
        <v>19793.2635505618</v>
      </c>
      <c r="E60" s="331" t="n">
        <f aca="false">D60-D66</f>
        <v>-8482.82723595506</v>
      </c>
      <c r="F60" s="331" t="n">
        <f aca="false">'Projections Recette 1'!E123*B60</f>
        <v>0</v>
      </c>
      <c r="G60" s="331" t="n">
        <f aca="false">F60-F66</f>
        <v>0</v>
      </c>
      <c r="H60" s="331" t="n">
        <f aca="false">'Projections Recette 1'!F123*B60</f>
        <v>0</v>
      </c>
      <c r="I60" s="331" t="n">
        <f aca="false">H60-H66</f>
        <v>0</v>
      </c>
      <c r="J60" s="331" t="n">
        <f aca="false">'Projections Recette 1'!G123*B60</f>
        <v>0</v>
      </c>
      <c r="K60" s="331" t="n">
        <f aca="false">J60-J66</f>
        <v>0</v>
      </c>
      <c r="L60" s="331" t="n">
        <f aca="false">'Projections Recette 1'!H123*B60</f>
        <v>0</v>
      </c>
    </row>
    <row r="61" customFormat="false" ht="15.6" hidden="false" customHeight="false" outlineLevel="0" collapsed="false">
      <c r="B61" s="330" t="n">
        <v>0.75</v>
      </c>
      <c r="C61" s="279" t="str">
        <f aca="false">C66*B61&amp;" (-25%)"</f>
        <v>3,75 (-25%)</v>
      </c>
      <c r="D61" s="331" t="n">
        <f aca="false">'Projections Recette 1'!D59*B61</f>
        <v>21207.0680898876</v>
      </c>
      <c r="E61" s="331" t="n">
        <f aca="false">D61-D66</f>
        <v>-7069.02269662921</v>
      </c>
      <c r="F61" s="331" t="n">
        <f aca="false">'Projections Recette 1'!E123*B61</f>
        <v>0</v>
      </c>
      <c r="G61" s="331" t="n">
        <f aca="false">F61-F66</f>
        <v>0</v>
      </c>
      <c r="H61" s="331" t="n">
        <f aca="false">'Projections Recette 1'!F123*B61</f>
        <v>0</v>
      </c>
      <c r="I61" s="331" t="n">
        <f aca="false">H61-H66</f>
        <v>0</v>
      </c>
      <c r="J61" s="331" t="n">
        <f aca="false">'Projections Recette 1'!G123*B61</f>
        <v>0</v>
      </c>
      <c r="K61" s="331" t="n">
        <f aca="false">J61-J66</f>
        <v>0</v>
      </c>
      <c r="L61" s="331" t="n">
        <f aca="false">'Projections Recette 1'!H123*B61</f>
        <v>0</v>
      </c>
    </row>
    <row r="62" customFormat="false" ht="15.6" hidden="false" customHeight="false" outlineLevel="0" collapsed="false">
      <c r="B62" s="330" t="n">
        <v>0.8</v>
      </c>
      <c r="C62" s="279" t="str">
        <f aca="false">C66*B62&amp;" (-20%)"</f>
        <v>4 (-20%)</v>
      </c>
      <c r="D62" s="331" t="n">
        <f aca="false">'Projections Recette 1'!D59*B62</f>
        <v>22620.8726292135</v>
      </c>
      <c r="E62" s="331" t="n">
        <f aca="false">D62-D66</f>
        <v>-5655.21815730337</v>
      </c>
      <c r="F62" s="331" t="n">
        <f aca="false">'Projections Recette 1'!E123*B62</f>
        <v>0</v>
      </c>
      <c r="G62" s="331" t="n">
        <f aca="false">F62-F66</f>
        <v>0</v>
      </c>
      <c r="H62" s="331" t="n">
        <f aca="false">'Projections Recette 1'!F123*B62</f>
        <v>0</v>
      </c>
      <c r="I62" s="331" t="n">
        <f aca="false">H62-H66</f>
        <v>0</v>
      </c>
      <c r="J62" s="331" t="n">
        <f aca="false">'Projections Recette 1'!G123*B62</f>
        <v>0</v>
      </c>
      <c r="K62" s="331" t="n">
        <f aca="false">J62-J66</f>
        <v>0</v>
      </c>
      <c r="L62" s="331" t="n">
        <f aca="false">'Projections Recette 1'!H123*B62</f>
        <v>0</v>
      </c>
    </row>
    <row r="63" customFormat="false" ht="15.6" hidden="false" customHeight="false" outlineLevel="0" collapsed="false">
      <c r="B63" s="330" t="n">
        <v>0.85</v>
      </c>
      <c r="C63" s="279" t="str">
        <f aca="false">C66*B63&amp;" (-15%)"</f>
        <v>4,25 (-15%)</v>
      </c>
      <c r="D63" s="331" t="n">
        <f aca="false">'Projections Recette 1'!D59*B63</f>
        <v>24034.6771685393</v>
      </c>
      <c r="E63" s="331" t="n">
        <f aca="false">D63-D66</f>
        <v>-4241.41361797753</v>
      </c>
      <c r="F63" s="331" t="n">
        <f aca="false">'Projections Recette 1'!E123*B63</f>
        <v>0</v>
      </c>
      <c r="G63" s="331" t="n">
        <f aca="false">F63-F66</f>
        <v>0</v>
      </c>
      <c r="H63" s="331" t="n">
        <f aca="false">'Projections Recette 1'!F123*B63</f>
        <v>0</v>
      </c>
      <c r="I63" s="331" t="n">
        <f aca="false">H63-H66</f>
        <v>0</v>
      </c>
      <c r="J63" s="331" t="n">
        <f aca="false">'Projections Recette 1'!G123*B63</f>
        <v>0</v>
      </c>
      <c r="K63" s="331" t="n">
        <f aca="false">J63-J66</f>
        <v>0</v>
      </c>
      <c r="L63" s="331" t="n">
        <f aca="false">'Projections Recette 1'!H123*B63</f>
        <v>0</v>
      </c>
    </row>
    <row r="64" customFormat="false" ht="15.6" hidden="false" customHeight="false" outlineLevel="0" collapsed="false">
      <c r="B64" s="330" t="n">
        <v>0.9</v>
      </c>
      <c r="C64" s="279" t="str">
        <f aca="false">C66*B64&amp;" (-10%)"</f>
        <v>4,5 (-10%)</v>
      </c>
      <c r="D64" s="331" t="n">
        <f aca="false">'Projections Recette 1'!D59*B64</f>
        <v>25448.4817078652</v>
      </c>
      <c r="E64" s="331" t="n">
        <f aca="false">D64-D66</f>
        <v>-2827.60907865168</v>
      </c>
      <c r="F64" s="331" t="n">
        <f aca="false">'Projections Recette 1'!E123*B64</f>
        <v>0</v>
      </c>
      <c r="G64" s="331" t="n">
        <f aca="false">F64-F66</f>
        <v>0</v>
      </c>
      <c r="H64" s="331" t="n">
        <f aca="false">'Projections Recette 1'!F123*B64</f>
        <v>0</v>
      </c>
      <c r="I64" s="331" t="n">
        <f aca="false">H64-H66</f>
        <v>0</v>
      </c>
      <c r="J64" s="331" t="n">
        <f aca="false">'Projections Recette 1'!G123*B64</f>
        <v>0</v>
      </c>
      <c r="K64" s="331" t="n">
        <f aca="false">J64-J66</f>
        <v>0</v>
      </c>
      <c r="L64" s="331" t="n">
        <f aca="false">'Projections Recette 1'!H123*B64</f>
        <v>0</v>
      </c>
    </row>
    <row r="65" customFormat="false" ht="15.6" hidden="false" customHeight="false" outlineLevel="0" collapsed="false">
      <c r="B65" s="330" t="n">
        <v>0.95</v>
      </c>
      <c r="C65" s="279" t="str">
        <f aca="false">C66*B65&amp;" (-5%)"</f>
        <v>4,75 (-5%)</v>
      </c>
      <c r="D65" s="331" t="n">
        <f aca="false">'Projections Recette 1'!D59*B65</f>
        <v>26862.286247191</v>
      </c>
      <c r="E65" s="331" t="n">
        <f aca="false">D65-D66</f>
        <v>-1413.80453932584</v>
      </c>
      <c r="F65" s="331" t="n">
        <f aca="false">'Projections Recette 1'!E123*B65</f>
        <v>0</v>
      </c>
      <c r="G65" s="331" t="n">
        <f aca="false">F65-F66</f>
        <v>0</v>
      </c>
      <c r="H65" s="331" t="n">
        <f aca="false">'Projections Recette 1'!F123*B65</f>
        <v>0</v>
      </c>
      <c r="I65" s="331" t="n">
        <f aca="false">H65-H66</f>
        <v>0</v>
      </c>
      <c r="J65" s="331" t="n">
        <f aca="false">'Projections Recette 1'!G123*B65</f>
        <v>0</v>
      </c>
      <c r="K65" s="331" t="n">
        <f aca="false">J65-J66</f>
        <v>0</v>
      </c>
      <c r="L65" s="331" t="n">
        <f aca="false">'Projections Recette 1'!H123*B65</f>
        <v>0</v>
      </c>
    </row>
    <row r="66" customFormat="false" ht="15.6" hidden="false" customHeight="false" outlineLevel="0" collapsed="false">
      <c r="A66" s="585"/>
      <c r="B66" s="332" t="n">
        <v>1</v>
      </c>
      <c r="C66" s="333" t="n">
        <f aca="false">Donnees!C56</f>
        <v>5</v>
      </c>
      <c r="D66" s="334" t="n">
        <f aca="false">'Projections Recette 1'!D59*B66</f>
        <v>28276.0907865168</v>
      </c>
      <c r="E66" s="334" t="n">
        <f aca="false">B66-B66</f>
        <v>0</v>
      </c>
      <c r="F66" s="334" t="n">
        <f aca="false">'Projections Recette 1'!E123*B66</f>
        <v>0</v>
      </c>
      <c r="G66" s="334" t="n">
        <f aca="false">F66-F66</f>
        <v>0</v>
      </c>
      <c r="H66" s="334" t="n">
        <f aca="false">'Projections Recette 1'!F123*B66</f>
        <v>0</v>
      </c>
      <c r="I66" s="335" t="n">
        <f aca="false">H66-H66</f>
        <v>0</v>
      </c>
      <c r="J66" s="334" t="n">
        <f aca="false">'Projections Recette 1'!G123*B66</f>
        <v>0</v>
      </c>
      <c r="K66" s="335" t="n">
        <f aca="false">J66-J66</f>
        <v>0</v>
      </c>
      <c r="L66" s="334" t="n">
        <f aca="false">'Projections Recette 1'!H123*B66</f>
        <v>0</v>
      </c>
    </row>
    <row r="67" customFormat="false" ht="15.6" hidden="false" customHeight="false" outlineLevel="0" collapsed="false">
      <c r="B67" s="330" t="n">
        <v>1.05</v>
      </c>
      <c r="C67" s="279" t="str">
        <f aca="false">C66*B67&amp;" (+5%)"</f>
        <v>5,25 (+5%)</v>
      </c>
      <c r="D67" s="331" t="n">
        <f aca="false">'Projections Recette 1'!D59*B67</f>
        <v>29689.8953258427</v>
      </c>
      <c r="E67" s="331" t="n">
        <f aca="false">D67-D66</f>
        <v>1413.80453932584</v>
      </c>
      <c r="F67" s="331" t="n">
        <f aca="false">'Projections Recette 1'!E123*B67</f>
        <v>0</v>
      </c>
      <c r="G67" s="331" t="n">
        <f aca="false">F67-F66</f>
        <v>0</v>
      </c>
      <c r="H67" s="331" t="n">
        <f aca="false">'Projections Recette 1'!F123*B67</f>
        <v>0</v>
      </c>
      <c r="I67" s="331" t="n">
        <f aca="false">H67-H66</f>
        <v>0</v>
      </c>
      <c r="J67" s="331" t="n">
        <f aca="false">'Projections Recette 1'!G123*B67</f>
        <v>0</v>
      </c>
      <c r="K67" s="331" t="n">
        <f aca="false">J67-J66</f>
        <v>0</v>
      </c>
      <c r="L67" s="331" t="n">
        <f aca="false">'Projections Recette 1'!H123*B67</f>
        <v>0</v>
      </c>
    </row>
    <row r="68" customFormat="false" ht="15.6" hidden="false" customHeight="false" outlineLevel="0" collapsed="false">
      <c r="B68" s="330" t="n">
        <v>1.1</v>
      </c>
      <c r="C68" s="279" t="str">
        <f aca="false">C66*B68&amp;" (+10%)"</f>
        <v>5,5 (+10%)</v>
      </c>
      <c r="D68" s="331" t="n">
        <f aca="false">'Projections Recette 1'!D59*B68</f>
        <v>31103.6998651685</v>
      </c>
      <c r="E68" s="331" t="n">
        <f aca="false">D68-D66</f>
        <v>2827.60907865169</v>
      </c>
      <c r="F68" s="331" t="n">
        <f aca="false">'Projections Recette 1'!E123*B68</f>
        <v>0</v>
      </c>
      <c r="G68" s="331" t="n">
        <f aca="false">F68-F66</f>
        <v>0</v>
      </c>
      <c r="H68" s="331" t="n">
        <f aca="false">'Projections Recette 1'!F123*B68</f>
        <v>0</v>
      </c>
      <c r="I68" s="331" t="n">
        <f aca="false">H68-H66</f>
        <v>0</v>
      </c>
      <c r="J68" s="331" t="n">
        <f aca="false">'Projections Recette 1'!G123*B68</f>
        <v>0</v>
      </c>
      <c r="K68" s="331" t="n">
        <f aca="false">J68-J66</f>
        <v>0</v>
      </c>
      <c r="L68" s="331" t="n">
        <f aca="false">'Projections Recette 1'!H123*B68</f>
        <v>0</v>
      </c>
    </row>
    <row r="69" customFormat="false" ht="15.6" hidden="false" customHeight="false" outlineLevel="0" collapsed="false">
      <c r="B69" s="330" t="n">
        <v>1.15</v>
      </c>
      <c r="C69" s="279" t="str">
        <f aca="false">C66*B69&amp;" (+15%)"</f>
        <v>5,75 (+15%)</v>
      </c>
      <c r="D69" s="331" t="n">
        <f aca="false">'Projections Recette 1'!D59*B69</f>
        <v>32517.5044044944</v>
      </c>
      <c r="E69" s="331" t="n">
        <f aca="false">D69-D66</f>
        <v>4241.41361797753</v>
      </c>
      <c r="F69" s="331" t="n">
        <f aca="false">'Projections Recette 1'!E123*B69</f>
        <v>0</v>
      </c>
      <c r="G69" s="331" t="n">
        <f aca="false">F69-F66</f>
        <v>0</v>
      </c>
      <c r="H69" s="331" t="n">
        <f aca="false">'Projections Recette 1'!F123*B69</f>
        <v>0</v>
      </c>
      <c r="I69" s="331" t="n">
        <f aca="false">H69-H66</f>
        <v>0</v>
      </c>
      <c r="J69" s="331" t="n">
        <f aca="false">'Projections Recette 1'!G123*B69</f>
        <v>0</v>
      </c>
      <c r="K69" s="331" t="n">
        <f aca="false">J69-J66</f>
        <v>0</v>
      </c>
      <c r="L69" s="331" t="n">
        <f aca="false">'Projections Recette 1'!H123*B69</f>
        <v>0</v>
      </c>
    </row>
    <row r="70" customFormat="false" ht="15.6" hidden="false" customHeight="false" outlineLevel="0" collapsed="false">
      <c r="B70" s="330" t="n">
        <v>1.2</v>
      </c>
      <c r="C70" s="279" t="str">
        <f aca="false">C66*B70&amp;" (+20%)"</f>
        <v>6 (+20%)</v>
      </c>
      <c r="D70" s="331" t="n">
        <f aca="false">'Projections Recette 1'!D59*B70</f>
        <v>33931.3089438202</v>
      </c>
      <c r="E70" s="331" t="n">
        <f aca="false">D70-D66</f>
        <v>5655.21815730337</v>
      </c>
      <c r="F70" s="331" t="n">
        <f aca="false">'Projections Recette 1'!E123*B70</f>
        <v>0</v>
      </c>
      <c r="G70" s="331" t="n">
        <f aca="false">F70-F66</f>
        <v>0</v>
      </c>
      <c r="H70" s="331" t="n">
        <f aca="false">'Projections Recette 1'!F123*B70</f>
        <v>0</v>
      </c>
      <c r="I70" s="331" t="n">
        <f aca="false">H70-H66</f>
        <v>0</v>
      </c>
      <c r="J70" s="331" t="n">
        <f aca="false">'Projections Recette 1'!G123*B70</f>
        <v>0</v>
      </c>
      <c r="K70" s="331" t="n">
        <f aca="false">J70-J66</f>
        <v>0</v>
      </c>
      <c r="L70" s="331" t="n">
        <f aca="false">'Projections Recette 1'!H123*B70</f>
        <v>0</v>
      </c>
    </row>
    <row r="71" customFormat="false" ht="15.6" hidden="false" customHeight="false" outlineLevel="0" collapsed="false">
      <c r="B71" s="330" t="n">
        <v>1.25</v>
      </c>
      <c r="C71" s="279" t="str">
        <f aca="false">C66*B71&amp;" (+25%)"</f>
        <v>6,25 (+25%)</v>
      </c>
      <c r="D71" s="331" t="n">
        <f aca="false">'Projections Recette 1'!D59*B71</f>
        <v>35345.1134831461</v>
      </c>
      <c r="E71" s="331" t="n">
        <f aca="false">D71-D66</f>
        <v>7069.02269662921</v>
      </c>
      <c r="F71" s="331" t="n">
        <f aca="false">'Projections Recette 1'!E123*B71</f>
        <v>0</v>
      </c>
      <c r="G71" s="331" t="n">
        <f aca="false">F71-F66</f>
        <v>0</v>
      </c>
      <c r="H71" s="331" t="n">
        <f aca="false">'Projections Recette 1'!F123*B71</f>
        <v>0</v>
      </c>
      <c r="I71" s="331" t="n">
        <f aca="false">H71-H66</f>
        <v>0</v>
      </c>
      <c r="J71" s="331" t="n">
        <f aca="false">'Projections Recette 1'!G123*B71</f>
        <v>0</v>
      </c>
      <c r="K71" s="331" t="n">
        <f aca="false">J71-J66</f>
        <v>0</v>
      </c>
      <c r="L71" s="331" t="n">
        <f aca="false">'Projections Recette 1'!H123*B71</f>
        <v>0</v>
      </c>
    </row>
    <row r="72" customFormat="false" ht="15.6" hidden="false" customHeight="false" outlineLevel="0" collapsed="false">
      <c r="B72" s="330" t="n">
        <v>1.3</v>
      </c>
      <c r="C72" s="279" t="str">
        <f aca="false">C66*B72&amp;" (+30%)"</f>
        <v>6,5 (+30%)</v>
      </c>
      <c r="D72" s="331" t="n">
        <f aca="false">'Projections Recette 1'!D59*B72</f>
        <v>36758.9180224719</v>
      </c>
      <c r="E72" s="331" t="n">
        <f aca="false">D72-D66</f>
        <v>8482.82723595506</v>
      </c>
      <c r="F72" s="331" t="n">
        <f aca="false">'Projections Recette 1'!E123*B72</f>
        <v>0</v>
      </c>
      <c r="G72" s="331" t="n">
        <f aca="false">F72-F66</f>
        <v>0</v>
      </c>
      <c r="H72" s="331" t="n">
        <f aca="false">'Projections Recette 1'!F123*B72</f>
        <v>0</v>
      </c>
      <c r="I72" s="331" t="n">
        <f aca="false">H72-H66</f>
        <v>0</v>
      </c>
      <c r="J72" s="331" t="n">
        <f aca="false">'Projections Recette 1'!G123*B72</f>
        <v>0</v>
      </c>
      <c r="K72" s="331" t="n">
        <f aca="false">J72-J66</f>
        <v>0</v>
      </c>
      <c r="L72" s="331" t="n">
        <f aca="false">'Projections Recette 1'!H123*B72</f>
        <v>0</v>
      </c>
    </row>
  </sheetData>
  <mergeCells count="18">
    <mergeCell ref="D1:E1"/>
    <mergeCell ref="F1:G1"/>
    <mergeCell ref="H1:I1"/>
    <mergeCell ref="J1:K1"/>
    <mergeCell ref="D57:E57"/>
    <mergeCell ref="F57:G57"/>
    <mergeCell ref="H57:I57"/>
    <mergeCell ref="J57:K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21"/>
  <sheetViews>
    <sheetView showFormulas="false" showGridLines="false" showRowColHeaders="true" showZeros="true" rightToLeft="false" tabSelected="false" showOutlineSymbols="true" defaultGridColor="true" view="normal" topLeftCell="A52" colorId="64" zoomScale="85" zoomScaleNormal="85" zoomScalePageLayoutView="100" workbookViewId="0">
      <selection pane="topLeft" activeCell="C4" activeCellId="0" sqref="C4"/>
    </sheetView>
  </sheetViews>
  <sheetFormatPr defaultColWidth="8.73046875" defaultRowHeight="14.4" zeroHeight="false" outlineLevelRow="0" outlineLevelCol="0"/>
  <cols>
    <col collapsed="false" customWidth="true" hidden="false" outlineLevel="0" max="2" min="2" style="0" width="37.56"/>
    <col collapsed="false" customWidth="true" hidden="false" outlineLevel="0" max="3" min="3" style="0" width="21.78"/>
    <col collapsed="false" customWidth="true" hidden="false" outlineLevel="0" max="7" min="4" style="0" width="18.77"/>
    <col collapsed="false" customWidth="true" hidden="false" outlineLevel="0" max="11" min="8" style="0" width="21.78"/>
  </cols>
  <sheetData>
    <row r="1" customFormat="false" ht="41.4" hidden="false" customHeight="true" outlineLevel="0" collapsed="false">
      <c r="B1" s="586" t="s">
        <v>285</v>
      </c>
      <c r="C1" s="586"/>
      <c r="D1" s="586"/>
      <c r="E1" s="586"/>
      <c r="F1" s="586"/>
      <c r="G1" s="586"/>
      <c r="H1" s="586"/>
      <c r="I1" s="586"/>
      <c r="J1" s="586"/>
      <c r="K1" s="586"/>
    </row>
    <row r="2" customFormat="false" ht="31.2" hidden="false" customHeight="false" outlineLevel="0" collapsed="false">
      <c r="B2" s="587"/>
      <c r="C2" s="588" t="s">
        <v>286</v>
      </c>
      <c r="D2" s="588" t="s">
        <v>287</v>
      </c>
      <c r="E2" s="589" t="s">
        <v>288</v>
      </c>
      <c r="F2" s="589" t="s">
        <v>289</v>
      </c>
      <c r="G2" s="589" t="s">
        <v>290</v>
      </c>
      <c r="H2" s="589" t="s">
        <v>291</v>
      </c>
      <c r="I2" s="589" t="s">
        <v>292</v>
      </c>
      <c r="J2" s="589" t="s">
        <v>293</v>
      </c>
      <c r="K2" s="589" t="s">
        <v>294</v>
      </c>
    </row>
    <row r="3" s="590" customFormat="true" ht="21" hidden="false" customHeight="true" outlineLevel="0" collapsed="false">
      <c r="B3" s="591" t="s">
        <v>295</v>
      </c>
      <c r="C3" s="592" t="n">
        <f aca="false">'Projections Recette 1'!D35</f>
        <v>706.902269662921</v>
      </c>
      <c r="D3" s="592" t="n">
        <f aca="false">C3*4</f>
        <v>2827.60907865168</v>
      </c>
      <c r="E3" s="592" t="n">
        <f aca="false">D3*2</f>
        <v>5655.21815730337</v>
      </c>
      <c r="F3" s="592" t="n">
        <f aca="false">D3*3</f>
        <v>8482.82723595506</v>
      </c>
      <c r="G3" s="592" t="n">
        <f aca="false">D3*4</f>
        <v>11310.4363146067</v>
      </c>
      <c r="H3" s="163" t="n">
        <f aca="false">D3*Donnees!C14</f>
        <v>113104.363146067</v>
      </c>
      <c r="I3" s="163" t="n">
        <f aca="false">E3*Donnees!C14</f>
        <v>226208.726292135</v>
      </c>
      <c r="J3" s="163" t="n">
        <f aca="false">F3*Donnees!C14</f>
        <v>339313.089438202</v>
      </c>
      <c r="K3" s="163" t="n">
        <f aca="false">G3*Donnees!C14</f>
        <v>452417.45258427</v>
      </c>
    </row>
    <row r="4" s="590" customFormat="true" ht="21" hidden="false" customHeight="true" outlineLevel="0" collapsed="false">
      <c r="B4" s="593" t="s">
        <v>296</v>
      </c>
      <c r="C4" s="163" t="n">
        <f aca="false">('Projections Recette 1'!D34-(('Projections Recette 1'!F18*(100-Donnees!C22)/100)+('Projections Recette 1'!F13+'Projections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4" s="163" t="n">
        <f aca="false">C4*4</f>
        <v>3037.24907865169</v>
      </c>
      <c r="E4" s="163" t="n">
        <f aca="false">D4*2</f>
        <v>6074.49815730337</v>
      </c>
      <c r="F4" s="163" t="n">
        <f aca="false">D4*3</f>
        <v>9111.74723595506</v>
      </c>
      <c r="G4" s="163" t="n">
        <f aca="false">D4*4</f>
        <v>12148.9963146067</v>
      </c>
      <c r="H4" s="163" t="n">
        <f aca="false">D4*Donnees!C14</f>
        <v>121489.963146067</v>
      </c>
      <c r="I4" s="163" t="n">
        <f aca="false">E4*Donnees!C14</f>
        <v>242979.926292135</v>
      </c>
      <c r="J4" s="163" t="n">
        <f aca="false">F4*Donnees!C14</f>
        <v>364469.889438202</v>
      </c>
      <c r="K4" s="163" t="n">
        <f aca="false">G4*Donnees!C14</f>
        <v>485959.85258427</v>
      </c>
    </row>
    <row r="5" customFormat="false" ht="21" hidden="false" customHeight="true" outlineLevel="0" collapsed="false">
      <c r="B5" s="591" t="str">
        <f aca="false">"Gains decote houblon" &amp;" "&amp;Donnees!C22&amp;"%"</f>
        <v>Gains decote houblon 0%</v>
      </c>
      <c r="C5" s="594" t="n">
        <f aca="false">C4-C3</f>
        <v>52.4100000000001</v>
      </c>
      <c r="D5" s="594"/>
      <c r="E5" s="594"/>
      <c r="F5" s="594"/>
      <c r="G5" s="594"/>
      <c r="H5" s="594" t="n">
        <f aca="false">H4-H3</f>
        <v>8385.60000000002</v>
      </c>
      <c r="I5" s="594" t="n">
        <f aca="false">H5*2</f>
        <v>16771.2</v>
      </c>
      <c r="J5" s="594" t="n">
        <f aca="false">H5*3</f>
        <v>25156.8000000001</v>
      </c>
      <c r="K5" s="594" t="n">
        <f aca="false">H5*4</f>
        <v>33542.4000000001</v>
      </c>
    </row>
    <row r="6" s="590" customFormat="true" ht="21" hidden="false" customHeight="true" outlineLevel="0" collapsed="false">
      <c r="B6" s="591" t="s">
        <v>297</v>
      </c>
      <c r="C6" s="594" t="n">
        <f aca="false">('Projections Recette 1'!D34-(('Projections Recette 1'!F18*(100-Donnees!C23)/100)+('Projections Recette 1'!F13+'Projections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6" s="594" t="n">
        <f aca="false">C6*4</f>
        <v>3037.24907865169</v>
      </c>
      <c r="E6" s="594" t="n">
        <f aca="false">D6*2</f>
        <v>6074.49815730337</v>
      </c>
      <c r="F6" s="594" t="n">
        <f aca="false">D6*3</f>
        <v>9111.74723595506</v>
      </c>
      <c r="G6" s="594" t="n">
        <f aca="false">D6*4</f>
        <v>12148.9963146067</v>
      </c>
      <c r="H6" s="594" t="n">
        <f aca="false">D6*Donnees!C14</f>
        <v>121489.963146067</v>
      </c>
      <c r="I6" s="594" t="n">
        <f aca="false">E6*Donnees!C14</f>
        <v>242979.926292135</v>
      </c>
      <c r="J6" s="594" t="n">
        <f aca="false">F6*Donnees!C14</f>
        <v>364469.889438202</v>
      </c>
      <c r="K6" s="594" t="n">
        <f aca="false">G6*Donnees!C14</f>
        <v>485959.85258427</v>
      </c>
    </row>
    <row r="7" customFormat="false" ht="21" hidden="false" customHeight="true" outlineLevel="0" collapsed="false">
      <c r="B7" s="591" t="str">
        <f aca="false">"Gains decote houblon" &amp;" "&amp;Donnees!C23&amp;"%"</f>
        <v>Gains decote houblon 0%</v>
      </c>
      <c r="C7" s="594" t="n">
        <f aca="false">C6-C3</f>
        <v>52.4100000000001</v>
      </c>
      <c r="D7" s="594"/>
      <c r="E7" s="594"/>
      <c r="F7" s="594"/>
      <c r="G7" s="594"/>
      <c r="H7" s="594" t="n">
        <f aca="false">H6-H3</f>
        <v>8385.60000000002</v>
      </c>
      <c r="I7" s="594" t="n">
        <f aca="false">H7*2</f>
        <v>16771.2</v>
      </c>
      <c r="J7" s="594" t="n">
        <f aca="false">H7*3</f>
        <v>25156.8000000001</v>
      </c>
      <c r="K7" s="594" t="n">
        <f aca="false">H7*4</f>
        <v>33542.4000000001</v>
      </c>
    </row>
    <row r="8" s="595" customFormat="true" ht="21" hidden="false" customHeight="true" outlineLevel="0" collapsed="false">
      <c r="B8" s="591" t="s">
        <v>298</v>
      </c>
      <c r="C8" s="328" t="n">
        <f aca="false">('Projections Recette 1'!D34-(('Projections Recette 1'!F13*(100-Donnees!C17)/100)+('Projections Recette 1'!F15+'Projections Recette 1'!F5+'Projections Recette 1'!F16+'Projections Recette 1'!F17+'Projections Recette 1'!F18+'Projections Recette 1'!F23+'Projections Recette 1'!F24+'Projections Recette 1'!F6+'Projections Recette 1'!F27)))</f>
        <v>759.312269662921</v>
      </c>
      <c r="D8" s="594" t="n">
        <f aca="false">C8*4</f>
        <v>3037.24907865169</v>
      </c>
      <c r="E8" s="594" t="n">
        <f aca="false">D8*2</f>
        <v>6074.49815730337</v>
      </c>
      <c r="F8" s="594" t="n">
        <f aca="false">D8*3</f>
        <v>9111.74723595506</v>
      </c>
      <c r="G8" s="594" t="n">
        <f aca="false">D8*4</f>
        <v>12148.9963146067</v>
      </c>
      <c r="H8" s="594" t="n">
        <f aca="false">D8*Donnees!C14</f>
        <v>121489.963146067</v>
      </c>
      <c r="I8" s="594" t="n">
        <f aca="false">E8*Donnees!C14</f>
        <v>242979.926292135</v>
      </c>
      <c r="J8" s="594" t="n">
        <f aca="false">F8*Donnees!C14</f>
        <v>364469.889438202</v>
      </c>
      <c r="K8" s="594" t="n">
        <f aca="false">G8*Donnees!C14</f>
        <v>485959.85258427</v>
      </c>
      <c r="O8" s="595" t="n">
        <v>1</v>
      </c>
    </row>
    <row r="9" customFormat="false" ht="21" hidden="false" customHeight="true" outlineLevel="0" collapsed="false">
      <c r="B9" s="591" t="str">
        <f aca="false">"Gains decote malte" &amp;" "&amp;Donnees!C17&amp;"%"</f>
        <v>Gains decote malte 0%</v>
      </c>
      <c r="C9" s="328" t="n">
        <f aca="false">C8-C3</f>
        <v>52.4100000000001</v>
      </c>
      <c r="D9" s="594"/>
      <c r="E9" s="594"/>
      <c r="F9" s="594"/>
      <c r="G9" s="594"/>
      <c r="H9" s="594" t="n">
        <f aca="false">H8-H3</f>
        <v>8385.60000000002</v>
      </c>
      <c r="I9" s="594" t="n">
        <f aca="false">H9*2</f>
        <v>16771.2</v>
      </c>
      <c r="J9" s="594" t="n">
        <f aca="false">H9*3</f>
        <v>25156.8000000001</v>
      </c>
      <c r="K9" s="594" t="n">
        <f aca="false">H9*4</f>
        <v>33542.4000000001</v>
      </c>
    </row>
    <row r="10" s="595" customFormat="true" ht="21" hidden="false" customHeight="true" outlineLevel="0" collapsed="false">
      <c r="B10" s="591" t="s">
        <v>299</v>
      </c>
      <c r="C10" s="594" t="n">
        <f aca="false">('Projections Recette 1'!D34-(('Projections Recette 1'!F13*(100-Donnees!C18)/100)+('Projections Recette 1'!F15+'Projections Recette 1'!F5+'Projections Recette 1'!F16+'Projections Recette 1'!F17+'Projections Recette 1'!F18+'Projections Recette 1'!F23+'Projections Recette 1'!F24+'Projections Recette 1'!F6+'Projections Recette 1'!F27)))</f>
        <v>759.312269662921</v>
      </c>
      <c r="D10" s="594" t="n">
        <f aca="false">C10*4</f>
        <v>3037.24907865169</v>
      </c>
      <c r="E10" s="594" t="n">
        <f aca="false">D10*2</f>
        <v>6074.49815730337</v>
      </c>
      <c r="F10" s="594" t="n">
        <f aca="false">D10*3</f>
        <v>9111.74723595506</v>
      </c>
      <c r="G10" s="594" t="n">
        <f aca="false">D10*4</f>
        <v>12148.9963146067</v>
      </c>
      <c r="H10" s="594" t="n">
        <f aca="false">D10*Donnees!C14</f>
        <v>121489.963146067</v>
      </c>
      <c r="I10" s="594" t="n">
        <f aca="false">E10*Donnees!C14</f>
        <v>242979.926292135</v>
      </c>
      <c r="J10" s="594" t="n">
        <f aca="false">F10*Donnees!C14</f>
        <v>364469.889438202</v>
      </c>
      <c r="K10" s="594" t="n">
        <f aca="false">G10*Donnees!C14</f>
        <v>485959.85258427</v>
      </c>
    </row>
    <row r="11" s="585" customFormat="true" ht="21" hidden="false" customHeight="true" outlineLevel="0" collapsed="false">
      <c r="B11" s="591" t="str">
        <f aca="false">"Gains decote malte" &amp;" "&amp;Donnees!C18&amp;"%"</f>
        <v>Gains decote malte 0%</v>
      </c>
      <c r="C11" s="594" t="n">
        <f aca="false">C10-C3</f>
        <v>52.4100000000001</v>
      </c>
      <c r="D11" s="594"/>
      <c r="E11" s="594"/>
      <c r="F11" s="594"/>
      <c r="G11" s="594"/>
      <c r="H11" s="594" t="n">
        <f aca="false">H10-H3</f>
        <v>8385.60000000002</v>
      </c>
      <c r="I11" s="594" t="n">
        <f aca="false">H11*2</f>
        <v>16771.2</v>
      </c>
      <c r="J11" s="594" t="n">
        <f aca="false">H11*3</f>
        <v>25156.8000000001</v>
      </c>
      <c r="K11" s="594" t="n">
        <f aca="false">H11*4</f>
        <v>33542.4000000001</v>
      </c>
    </row>
    <row r="12" s="595" customFormat="true" ht="21" hidden="false" customHeight="true" outlineLevel="0" collapsed="false">
      <c r="B12" s="596" t="s">
        <v>300</v>
      </c>
      <c r="C12" s="594" t="n">
        <f aca="false">('Projections Recette 1'!D34-(('Projections Recette 1'!F13*(100-Donnees!C17)/100)+('Projections Recette 1'!F18*(100-Donnees!C22)/100)+('Projections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12" s="594" t="n">
        <f aca="false">C12*4</f>
        <v>3037.24907865169</v>
      </c>
      <c r="E12" s="594" t="n">
        <f aca="false">D12*2</f>
        <v>6074.49815730337</v>
      </c>
      <c r="F12" s="594" t="n">
        <f aca="false">D12*3</f>
        <v>9111.74723595506</v>
      </c>
      <c r="G12" s="594" t="n">
        <f aca="false">D12*4</f>
        <v>12148.9963146067</v>
      </c>
      <c r="H12" s="594" t="n">
        <f aca="false">D12*Donnees!C14</f>
        <v>121489.963146067</v>
      </c>
      <c r="I12" s="594" t="n">
        <f aca="false">E12*Donnees!C14</f>
        <v>242979.926292135</v>
      </c>
      <c r="J12" s="594" t="n">
        <f aca="false">F12*Donnees!C14</f>
        <v>364469.889438202</v>
      </c>
      <c r="K12" s="594" t="n">
        <f aca="false">G12*Donnees!C14</f>
        <v>485959.85258427</v>
      </c>
    </row>
    <row r="13" s="585" customFormat="true" ht="21" hidden="false" customHeight="true" outlineLevel="0" collapsed="false">
      <c r="B13" s="596" t="str">
        <f aca="false">"Gains decote malte " &amp;" "&amp;Donnees!C17&amp;"%" &amp;"et houblon"&amp;" "&amp;Donnees!C22&amp;"%"</f>
        <v>Gains decote malte  0%et houblon 0%</v>
      </c>
      <c r="C13" s="594" t="n">
        <f aca="false">C12-C3</f>
        <v>52.4100000000001</v>
      </c>
      <c r="D13" s="594"/>
      <c r="E13" s="594"/>
      <c r="F13" s="594"/>
      <c r="G13" s="594"/>
      <c r="H13" s="594" t="n">
        <f aca="false">H12-H3</f>
        <v>8385.60000000002</v>
      </c>
      <c r="I13" s="594" t="n">
        <f aca="false">H13*2</f>
        <v>16771.2</v>
      </c>
      <c r="J13" s="594" t="n">
        <f aca="false">H13*3</f>
        <v>25156.8000000001</v>
      </c>
      <c r="K13" s="594" t="n">
        <f aca="false">H13*4</f>
        <v>33542.4000000001</v>
      </c>
    </row>
    <row r="14" s="595" customFormat="true" ht="21" hidden="false" customHeight="true" outlineLevel="0" collapsed="false">
      <c r="B14" s="596" t="s">
        <v>301</v>
      </c>
      <c r="C14" s="594" t="n">
        <f aca="false">('Projections Recette 1'!D34-(('Projections Recette 1'!F13*(100-Donnees!C18)/100)+('Projections Recette 1'!F18*(100-Donnees!C23)/100)+('Projections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14" s="594" t="n">
        <f aca="false">C14*4</f>
        <v>3037.24907865169</v>
      </c>
      <c r="E14" s="594" t="n">
        <f aca="false">D14*2</f>
        <v>6074.49815730337</v>
      </c>
      <c r="F14" s="594" t="n">
        <f aca="false">D14*3</f>
        <v>9111.74723595506</v>
      </c>
      <c r="G14" s="594" t="n">
        <f aca="false">D14*4</f>
        <v>12148.9963146067</v>
      </c>
      <c r="H14" s="594" t="n">
        <f aca="false">D14*Donnees!C14</f>
        <v>121489.963146067</v>
      </c>
      <c r="I14" s="594" t="n">
        <f aca="false">E14*Donnees!C14</f>
        <v>242979.926292135</v>
      </c>
      <c r="J14" s="594" t="n">
        <f aca="false">F14*Donnees!C14</f>
        <v>364469.889438202</v>
      </c>
      <c r="K14" s="594" t="n">
        <f aca="false">G14*Donnees!C14</f>
        <v>485959.85258427</v>
      </c>
    </row>
    <row r="15" s="585" customFormat="true" ht="21" hidden="false" customHeight="true" outlineLevel="0" collapsed="false">
      <c r="B15" s="596" t="str">
        <f aca="false">"Gains decote malte" &amp;" "&amp;Donnees!C18&amp;"%" &amp;" et houblon"&amp;" "&amp;Donnees!C23&amp;"%"</f>
        <v>Gains decote malte 0% et houblon 0%</v>
      </c>
      <c r="C15" s="594" t="n">
        <f aca="false">C14-C3</f>
        <v>52.4100000000001</v>
      </c>
      <c r="D15" s="594"/>
      <c r="E15" s="594"/>
      <c r="F15" s="594"/>
      <c r="G15" s="594"/>
      <c r="H15" s="594" t="n">
        <f aca="false">H14-H3</f>
        <v>8385.60000000002</v>
      </c>
      <c r="I15" s="594" t="n">
        <f aca="false">H15*2</f>
        <v>16771.2</v>
      </c>
      <c r="J15" s="594" t="n">
        <f aca="false">H15*3</f>
        <v>25156.8000000001</v>
      </c>
      <c r="K15" s="594" t="n">
        <f aca="false">H15*4</f>
        <v>33542.4000000001</v>
      </c>
    </row>
    <row r="16" s="595" customFormat="true" ht="21" hidden="false" customHeight="true" outlineLevel="0" collapsed="false">
      <c r="B16" s="596" t="s">
        <v>302</v>
      </c>
      <c r="C16" s="594" t="n">
        <f aca="false">('Projections Recette 1'!D34-(('Projections Recette 1'!F13*(100-Donnees!C17)/100)+('Projections Recette 1'!F18*(100-Donnees!C23)/100)+('Projections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16" s="594" t="n">
        <f aca="false">C16*4</f>
        <v>3037.24907865169</v>
      </c>
      <c r="E16" s="594" t="n">
        <f aca="false">D16*2</f>
        <v>6074.49815730337</v>
      </c>
      <c r="F16" s="594" t="n">
        <f aca="false">D16*3</f>
        <v>9111.74723595506</v>
      </c>
      <c r="G16" s="594" t="n">
        <f aca="false">D16*4</f>
        <v>12148.9963146067</v>
      </c>
      <c r="H16" s="594" t="n">
        <f aca="false">D16*Donnees!C14</f>
        <v>121489.963146067</v>
      </c>
      <c r="I16" s="594" t="n">
        <f aca="false">E16*Donnees!C14</f>
        <v>242979.926292135</v>
      </c>
      <c r="J16" s="594" t="n">
        <f aca="false">F16*Donnees!C14</f>
        <v>364469.889438202</v>
      </c>
      <c r="K16" s="594" t="n">
        <f aca="false">G16*Donnees!C14</f>
        <v>485959.85258427</v>
      </c>
    </row>
    <row r="17" s="585" customFormat="true" ht="21" hidden="false" customHeight="true" outlineLevel="0" collapsed="false">
      <c r="B17" s="596" t="str">
        <f aca="false">"Gains decote malte" &amp;" "&amp;Donnees!C17&amp;"%" &amp;" et houblon"&amp;" "&amp;Donnees!C23&amp;"%"</f>
        <v>Gains decote malte 0% et houblon 0%</v>
      </c>
      <c r="C17" s="594" t="n">
        <f aca="false">C16-C3</f>
        <v>52.4100000000001</v>
      </c>
      <c r="D17" s="594"/>
      <c r="E17" s="594"/>
      <c r="F17" s="594"/>
      <c r="G17" s="594"/>
      <c r="H17" s="594" t="n">
        <f aca="false">H16-H3</f>
        <v>8385.60000000002</v>
      </c>
      <c r="I17" s="594" t="n">
        <f aca="false">H17*2</f>
        <v>16771.2</v>
      </c>
      <c r="J17" s="594" t="n">
        <f aca="false">H17*3</f>
        <v>25156.8000000001</v>
      </c>
      <c r="K17" s="594" t="n">
        <f aca="false">H17*4</f>
        <v>33542.4000000001</v>
      </c>
    </row>
    <row r="18" s="595" customFormat="true" ht="21" hidden="false" customHeight="true" outlineLevel="0" collapsed="false">
      <c r="B18" s="596" t="s">
        <v>303</v>
      </c>
      <c r="C18" s="594" t="n">
        <f aca="false">('Projections Recette 1'!D34-(('Projections Recette 1'!F13*(100-Donnees!C18)/100)+('Projections Recette 1'!F18*(100-Donnees!C22)/100)+('Projections Recette 1'!F15+'Projections Recette 1'!F5+'Projections Recette 1'!F16+'Projections Recette 1'!F17+'Projections Recette 1'!F23+'Projections Recette 1'!F24+'Projections Recette 1'!F6+'Projections Recette 1'!F27)))</f>
        <v>759.312269662921</v>
      </c>
      <c r="D18" s="594" t="n">
        <f aca="false">C18*4</f>
        <v>3037.24907865169</v>
      </c>
      <c r="E18" s="594" t="n">
        <f aca="false">D18*2</f>
        <v>6074.49815730337</v>
      </c>
      <c r="F18" s="594" t="n">
        <f aca="false">D18*3</f>
        <v>9111.74723595506</v>
      </c>
      <c r="G18" s="594" t="n">
        <f aca="false">D18*4</f>
        <v>12148.9963146067</v>
      </c>
      <c r="H18" s="594" t="n">
        <f aca="false">D18*Donnees!C14</f>
        <v>121489.963146067</v>
      </c>
      <c r="I18" s="594" t="n">
        <f aca="false">E18*Donnees!C14</f>
        <v>242979.926292135</v>
      </c>
      <c r="J18" s="594" t="n">
        <f aca="false">F18*Donnees!C14</f>
        <v>364469.889438202</v>
      </c>
      <c r="K18" s="594" t="n">
        <f aca="false">G18*Donnees!C14</f>
        <v>485959.85258427</v>
      </c>
    </row>
    <row r="19" s="585" customFormat="true" ht="23.4" hidden="false" customHeight="true" outlineLevel="0" collapsed="false">
      <c r="B19" s="596" t="str">
        <f aca="false">"Gains decote malte" &amp;" "&amp;Donnees!C18&amp;"%" &amp;" et houblon"&amp;" "&amp;Donnees!C22&amp;"%"</f>
        <v>Gains decote malte 0% et houblon 0%</v>
      </c>
      <c r="C19" s="594" t="n">
        <f aca="false">C18-C3</f>
        <v>52.4100000000001</v>
      </c>
      <c r="D19" s="594"/>
      <c r="E19" s="594"/>
      <c r="F19" s="594"/>
      <c r="G19" s="594"/>
      <c r="H19" s="594" t="n">
        <f aca="false">H18-H3</f>
        <v>8385.60000000002</v>
      </c>
      <c r="I19" s="594" t="n">
        <f aca="false">H19*2</f>
        <v>16771.2</v>
      </c>
      <c r="J19" s="594" t="n">
        <f aca="false">H19*3</f>
        <v>25156.8000000001</v>
      </c>
      <c r="K19" s="594" t="n">
        <f aca="false">H19*4</f>
        <v>33542.4000000001</v>
      </c>
    </row>
    <row r="21" customFormat="false" ht="13.8" hidden="false" customHeight="true" outlineLevel="0" collapsed="false"/>
  </sheetData>
  <mergeCells count="1">
    <mergeCell ref="B1:K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2017-08-09T11:55:55Z</dcterms:created>
  <dc:creator>Me</dc:creator>
  <dc:description/>
  <dc:language>fr-FR</dc:language>
  <cp:lastModifiedBy/>
  <dcterms:modified xsi:type="dcterms:W3CDTF">2022-07-24T14:37:41Z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